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I:\Client.Folders\New Horizons\22-23\Funding\Chartering Agency\LCAP\"/>
    </mc:Choice>
  </mc:AlternateContent>
  <xr:revisionPtr revIDLastSave="0" documentId="8_{5E881CC3-C39D-2546-BE9A-603099854973}" xr6:coauthVersionLast="47" xr6:coauthVersionMax="47" xr10:uidLastSave="{00000000-0000-0000-0000-000000000000}"/>
  <bookViews>
    <workbookView xWindow="33840" yWindow="2010" windowWidth="23370" windowHeight="12195" tabRatio="500" activeTab="2" xr2:uid="{00000000-000D-0000-FFFF-FFFF00000000}"/>
  </bookViews>
  <sheets>
    <sheet name="FY22-23 Expenditures" sheetId="3" r:id="rId1"/>
    <sheet name="FY22-23 Budget" sheetId="4" r:id="rId2"/>
    <sheet name="FY21-22 Annual Update" sheetId="1" r:id="rId3"/>
    <sheet name="FY21-22 Forecast" sheetId="2" r:id="rId4"/>
  </sheets>
  <definedNames>
    <definedName name="_xlnm.Print_Area" localSheetId="3">'FY21-22 Forecast'!$A$1:$V$171</definedName>
    <definedName name="_xlnm.Print_Area" localSheetId="1">'FY22-23 Budget'!$A$1:$V$171</definedName>
    <definedName name="_xlnm.Print_Titles" localSheetId="3">'FY21-22 Forecast'!$A:$D,'FY21-22 Forecast'!$1:$4</definedName>
    <definedName name="_xlnm.Print_Titles" localSheetId="1">'FY22-23 Budget'!$A:$D,'FY22-23 Budget'!$1:$4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3" l="1"/>
  <c r="J20" i="3"/>
  <c r="G17" i="3"/>
  <c r="I17" i="3"/>
  <c r="F15" i="3"/>
  <c r="G15" i="3"/>
  <c r="J25" i="3"/>
  <c r="H27" i="3"/>
  <c r="I25" i="3"/>
  <c r="H25" i="3"/>
  <c r="G25" i="3"/>
  <c r="F25" i="3"/>
  <c r="J9" i="3"/>
  <c r="J10" i="3"/>
  <c r="J11" i="3"/>
  <c r="J12" i="3"/>
  <c r="J13" i="3"/>
  <c r="J14" i="3"/>
  <c r="J15" i="3"/>
  <c r="J16" i="3"/>
  <c r="J18" i="3"/>
  <c r="J19" i="3"/>
  <c r="J21" i="3"/>
  <c r="M22" i="3"/>
  <c r="L22" i="3"/>
  <c r="E4" i="3"/>
  <c r="F22" i="3"/>
  <c r="J22" i="3"/>
  <c r="I22" i="3"/>
  <c r="H23" i="3"/>
  <c r="F23" i="3"/>
  <c r="A4" i="3"/>
  <c r="I23" i="3"/>
  <c r="J17" i="3"/>
  <c r="G23" i="3"/>
  <c r="C4" i="3"/>
  <c r="F27" i="3"/>
  <c r="G27" i="3"/>
  <c r="I27" i="3"/>
  <c r="G4" i="3"/>
  <c r="I4" i="3"/>
  <c r="G2" i="3"/>
  <c r="J27" i="3"/>
  <c r="L17" i="3"/>
  <c r="G42" i="3"/>
  <c r="H42" i="3"/>
  <c r="F21" i="3"/>
  <c r="G47" i="3"/>
  <c r="H47" i="3"/>
  <c r="G46" i="3"/>
  <c r="H46" i="3"/>
  <c r="F19" i="3"/>
  <c r="G45" i="3"/>
  <c r="H45" i="3"/>
  <c r="F18" i="3"/>
  <c r="G44" i="3"/>
  <c r="H44" i="3"/>
  <c r="G41" i="3"/>
  <c r="H41" i="3"/>
  <c r="F14" i="3"/>
  <c r="G40" i="3"/>
  <c r="H40" i="3"/>
  <c r="S80" i="4"/>
  <c r="F13" i="3"/>
  <c r="G39" i="3"/>
  <c r="H39" i="3"/>
  <c r="G38" i="3"/>
  <c r="H38" i="3"/>
  <c r="J23" i="3"/>
  <c r="M17" i="3"/>
  <c r="G43" i="3"/>
  <c r="H43" i="3"/>
  <c r="F11" i="3"/>
  <c r="G37" i="3"/>
  <c r="H37" i="3"/>
  <c r="F10" i="3"/>
  <c r="G36" i="3"/>
  <c r="H36" i="3"/>
  <c r="F9" i="3"/>
  <c r="S165" i="4"/>
  <c r="P164" i="4"/>
  <c r="O164" i="4"/>
  <c r="M164" i="4"/>
  <c r="N164" i="4"/>
  <c r="K164" i="4"/>
  <c r="S164" i="4"/>
  <c r="S163" i="4"/>
  <c r="S161" i="4"/>
  <c r="S160" i="4"/>
  <c r="S158" i="4"/>
  <c r="S157" i="4"/>
  <c r="S156" i="4"/>
  <c r="S154" i="4"/>
  <c r="S153" i="4"/>
  <c r="S152" i="4"/>
  <c r="S151" i="4"/>
  <c r="Q149" i="4"/>
  <c r="P149" i="4"/>
  <c r="O149" i="4"/>
  <c r="N149" i="4"/>
  <c r="K149" i="4"/>
  <c r="H149" i="4"/>
  <c r="G149" i="4"/>
  <c r="F149" i="4"/>
  <c r="T144" i="4"/>
  <c r="R144" i="4"/>
  <c r="X140" i="4"/>
  <c r="Q140" i="4"/>
  <c r="M140" i="4"/>
  <c r="K140" i="4"/>
  <c r="I140" i="4"/>
  <c r="E140" i="4"/>
  <c r="Y139" i="4"/>
  <c r="Y140" i="4"/>
  <c r="P139" i="4"/>
  <c r="P140" i="4"/>
  <c r="O139" i="4"/>
  <c r="O140" i="4"/>
  <c r="N139" i="4"/>
  <c r="N140" i="4"/>
  <c r="M139" i="4"/>
  <c r="L139" i="4"/>
  <c r="L140" i="4"/>
  <c r="K139" i="4"/>
  <c r="J139" i="4"/>
  <c r="J140" i="4"/>
  <c r="I139" i="4"/>
  <c r="H139" i="4"/>
  <c r="H140" i="4"/>
  <c r="G139" i="4"/>
  <c r="G140" i="4"/>
  <c r="F139" i="4"/>
  <c r="F140" i="4"/>
  <c r="E139" i="4"/>
  <c r="S139" i="4"/>
  <c r="U139" i="4"/>
  <c r="Q137" i="4"/>
  <c r="P137" i="4"/>
  <c r="N137" i="4"/>
  <c r="L137" i="4"/>
  <c r="H137" i="4"/>
  <c r="F137" i="4"/>
  <c r="X137" i="4"/>
  <c r="O137" i="4"/>
  <c r="M149" i="4"/>
  <c r="L149" i="4"/>
  <c r="K137" i="4"/>
  <c r="J149" i="4"/>
  <c r="I149" i="4"/>
  <c r="G137" i="4"/>
  <c r="E149" i="4"/>
  <c r="S149" i="4"/>
  <c r="S133" i="4"/>
  <c r="U133" i="4"/>
  <c r="V133" i="4"/>
  <c r="S131" i="4"/>
  <c r="U131" i="4"/>
  <c r="V131" i="4"/>
  <c r="S129" i="4"/>
  <c r="S128" i="4"/>
  <c r="U128" i="4"/>
  <c r="V128" i="4"/>
  <c r="S127" i="4"/>
  <c r="U127" i="4"/>
  <c r="V127" i="4"/>
  <c r="S126" i="4"/>
  <c r="U126" i="4"/>
  <c r="V126" i="4"/>
  <c r="S125" i="4"/>
  <c r="U125" i="4"/>
  <c r="V125" i="4"/>
  <c r="S124" i="4"/>
  <c r="U124" i="4"/>
  <c r="V124" i="4"/>
  <c r="S123" i="4"/>
  <c r="U123" i="4"/>
  <c r="V123" i="4"/>
  <c r="S122" i="4"/>
  <c r="U122" i="4"/>
  <c r="V122" i="4"/>
  <c r="S121" i="4"/>
  <c r="U121" i="4"/>
  <c r="V121" i="4"/>
  <c r="S120" i="4"/>
  <c r="U120" i="4"/>
  <c r="V120" i="4"/>
  <c r="X134" i="4"/>
  <c r="S119" i="4"/>
  <c r="U119" i="4"/>
  <c r="X117" i="4"/>
  <c r="Q117" i="4"/>
  <c r="M117" i="4"/>
  <c r="E117" i="4"/>
  <c r="S116" i="4"/>
  <c r="U116" i="4"/>
  <c r="V116" i="4"/>
  <c r="S115" i="4"/>
  <c r="S114" i="4"/>
  <c r="U114" i="4"/>
  <c r="V114" i="4"/>
  <c r="I117" i="4"/>
  <c r="N117" i="4"/>
  <c r="F117" i="4"/>
  <c r="Y111" i="4"/>
  <c r="P117" i="4"/>
  <c r="O117" i="4"/>
  <c r="L117" i="4"/>
  <c r="K117" i="4"/>
  <c r="J117" i="4"/>
  <c r="H117" i="4"/>
  <c r="S111" i="4"/>
  <c r="U111" i="4"/>
  <c r="Q109" i="4"/>
  <c r="S108" i="4"/>
  <c r="U108" i="4"/>
  <c r="V108" i="4"/>
  <c r="S107" i="4"/>
  <c r="S106" i="4"/>
  <c r="U106" i="4"/>
  <c r="V106" i="4"/>
  <c r="S105" i="4"/>
  <c r="S104" i="4"/>
  <c r="U104" i="4"/>
  <c r="V104" i="4"/>
  <c r="S103" i="4"/>
  <c r="Y102" i="4"/>
  <c r="S102" i="4"/>
  <c r="U102" i="4"/>
  <c r="V102" i="4"/>
  <c r="O109" i="4"/>
  <c r="M109" i="4"/>
  <c r="I109" i="4"/>
  <c r="G109" i="4"/>
  <c r="E109" i="4"/>
  <c r="P109" i="4"/>
  <c r="N109" i="4"/>
  <c r="L109" i="4"/>
  <c r="K109" i="4"/>
  <c r="J109" i="4"/>
  <c r="H109" i="4"/>
  <c r="F109" i="4"/>
  <c r="T98" i="4"/>
  <c r="Q98" i="4"/>
  <c r="S97" i="4"/>
  <c r="Y96" i="4"/>
  <c r="S96" i="4"/>
  <c r="U96" i="4"/>
  <c r="V96" i="4"/>
  <c r="S95" i="4"/>
  <c r="U95" i="4"/>
  <c r="V95" i="4"/>
  <c r="Y94" i="4"/>
  <c r="S94" i="4"/>
  <c r="U94" i="4"/>
  <c r="V94" i="4"/>
  <c r="S93" i="4"/>
  <c r="U93" i="4"/>
  <c r="V93" i="4"/>
  <c r="X98" i="4"/>
  <c r="P98" i="4"/>
  <c r="O98" i="4"/>
  <c r="N98" i="4"/>
  <c r="M98" i="4"/>
  <c r="L98" i="4"/>
  <c r="K98" i="4"/>
  <c r="J98" i="4"/>
  <c r="I98" i="4"/>
  <c r="H98" i="4"/>
  <c r="G98" i="4"/>
  <c r="F98" i="4"/>
  <c r="S92" i="4"/>
  <c r="U92" i="4"/>
  <c r="Q90" i="4"/>
  <c r="N90" i="4"/>
  <c r="J90" i="4"/>
  <c r="S89" i="4"/>
  <c r="S88" i="4"/>
  <c r="S87" i="4"/>
  <c r="Y86" i="4"/>
  <c r="S86" i="4"/>
  <c r="U86" i="4"/>
  <c r="V86" i="4"/>
  <c r="S85" i="4"/>
  <c r="O90" i="4"/>
  <c r="M90" i="4"/>
  <c r="G90" i="4"/>
  <c r="S84" i="4"/>
  <c r="P90" i="4"/>
  <c r="L90" i="4"/>
  <c r="K90" i="4"/>
  <c r="I90" i="4"/>
  <c r="Q79" i="4"/>
  <c r="Y75" i="4"/>
  <c r="S75" i="4"/>
  <c r="U75" i="4"/>
  <c r="V75" i="4"/>
  <c r="R69" i="4"/>
  <c r="Q69" i="4"/>
  <c r="L69" i="4"/>
  <c r="Y68" i="4"/>
  <c r="S68" i="4"/>
  <c r="U68" i="4"/>
  <c r="V68" i="4"/>
  <c r="S66" i="4"/>
  <c r="U66" i="4"/>
  <c r="V66" i="4"/>
  <c r="O69" i="4"/>
  <c r="N69" i="4"/>
  <c r="M69" i="4"/>
  <c r="K69" i="4"/>
  <c r="J69" i="4"/>
  <c r="I69" i="4"/>
  <c r="G69" i="4"/>
  <c r="F69" i="4"/>
  <c r="E69" i="4"/>
  <c r="R62" i="4"/>
  <c r="Q62" i="4"/>
  <c r="I62" i="4"/>
  <c r="S61" i="4"/>
  <c r="Y61" i="4"/>
  <c r="K62" i="4"/>
  <c r="L62" i="4"/>
  <c r="S57" i="4"/>
  <c r="X62" i="4"/>
  <c r="O62" i="4"/>
  <c r="M62" i="4"/>
  <c r="J62" i="4"/>
  <c r="G62" i="4"/>
  <c r="E62" i="4"/>
  <c r="Q50" i="4"/>
  <c r="S49" i="4"/>
  <c r="S48" i="4"/>
  <c r="S47" i="4"/>
  <c r="S46" i="4"/>
  <c r="S45" i="4"/>
  <c r="S44" i="4"/>
  <c r="E50" i="4"/>
  <c r="X50" i="4"/>
  <c r="P50" i="4"/>
  <c r="O50" i="4"/>
  <c r="N50" i="4"/>
  <c r="M50" i="4"/>
  <c r="L50" i="4"/>
  <c r="K50" i="4"/>
  <c r="J50" i="4"/>
  <c r="I50" i="4"/>
  <c r="H50" i="4"/>
  <c r="G50" i="4"/>
  <c r="S42" i="4"/>
  <c r="I40" i="4"/>
  <c r="H40" i="4"/>
  <c r="G40" i="4"/>
  <c r="E40" i="4"/>
  <c r="S39" i="4"/>
  <c r="U38" i="4"/>
  <c r="S38" i="4"/>
  <c r="Y38" i="4"/>
  <c r="S36" i="4"/>
  <c r="S35" i="4"/>
  <c r="X40" i="4"/>
  <c r="Q34" i="4"/>
  <c r="S34" i="4"/>
  <c r="K40" i="4"/>
  <c r="H31" i="4"/>
  <c r="F31" i="4"/>
  <c r="Y30" i="4"/>
  <c r="S30" i="4"/>
  <c r="Y29" i="4"/>
  <c r="U29" i="4"/>
  <c r="V29" i="4"/>
  <c r="S29" i="4"/>
  <c r="S28" i="4"/>
  <c r="S27" i="4"/>
  <c r="S26" i="4"/>
  <c r="Q23" i="4"/>
  <c r="S23" i="4"/>
  <c r="Y22" i="4"/>
  <c r="S22" i="4"/>
  <c r="X31" i="4"/>
  <c r="L31" i="4"/>
  <c r="K31" i="4"/>
  <c r="J31" i="4"/>
  <c r="I31" i="4"/>
  <c r="O31" i="4"/>
  <c r="E31" i="4"/>
  <c r="X19" i="4"/>
  <c r="U17" i="4"/>
  <c r="S17" i="4"/>
  <c r="Y17" i="4"/>
  <c r="H15" i="4"/>
  <c r="H19" i="4"/>
  <c r="G15" i="4"/>
  <c r="G19" i="4"/>
  <c r="J15" i="4"/>
  <c r="J19" i="4"/>
  <c r="F15" i="4"/>
  <c r="F19" i="4"/>
  <c r="Q7" i="4"/>
  <c r="F4" i="4"/>
  <c r="G4" i="4"/>
  <c r="H4" i="4"/>
  <c r="I4" i="4"/>
  <c r="J4" i="4"/>
  <c r="K4" i="4"/>
  <c r="L4" i="4"/>
  <c r="M4" i="4"/>
  <c r="N4" i="4"/>
  <c r="O4" i="4"/>
  <c r="P4" i="4"/>
  <c r="L9" i="3"/>
  <c r="G35" i="3"/>
  <c r="U34" i="4"/>
  <c r="V34" i="4"/>
  <c r="Y34" i="4"/>
  <c r="X52" i="4"/>
  <c r="Y27" i="4"/>
  <c r="U27" i="4"/>
  <c r="V27" i="4"/>
  <c r="Y23" i="4"/>
  <c r="U23" i="4"/>
  <c r="V23" i="4"/>
  <c r="Y47" i="4"/>
  <c r="U47" i="4"/>
  <c r="V47" i="4"/>
  <c r="H52" i="4"/>
  <c r="U35" i="4"/>
  <c r="V35" i="4"/>
  <c r="Y35" i="4"/>
  <c r="Y28" i="4"/>
  <c r="U28" i="4"/>
  <c r="V28" i="4"/>
  <c r="U57" i="4"/>
  <c r="V57" i="4"/>
  <c r="Y57" i="4"/>
  <c r="U45" i="4"/>
  <c r="V45" i="4"/>
  <c r="Y45" i="4"/>
  <c r="Y48" i="4"/>
  <c r="U48" i="4"/>
  <c r="V48" i="4"/>
  <c r="Y49" i="4"/>
  <c r="V49" i="4"/>
  <c r="U49" i="4"/>
  <c r="S24" i="4"/>
  <c r="V36" i="4"/>
  <c r="U36" i="4"/>
  <c r="Y36" i="4"/>
  <c r="Y46" i="4"/>
  <c r="U46" i="4"/>
  <c r="V46" i="4"/>
  <c r="V44" i="4"/>
  <c r="U44" i="4"/>
  <c r="Y44" i="4"/>
  <c r="Y26" i="4"/>
  <c r="V26" i="4"/>
  <c r="U26" i="4"/>
  <c r="Y39" i="4"/>
  <c r="U39" i="4"/>
  <c r="V39" i="4"/>
  <c r="Y42" i="4"/>
  <c r="U42" i="4"/>
  <c r="K15" i="4"/>
  <c r="K19" i="4"/>
  <c r="M31" i="4"/>
  <c r="F50" i="4"/>
  <c r="Y59" i="4"/>
  <c r="S81" i="4"/>
  <c r="U81" i="4"/>
  <c r="H90" i="4"/>
  <c r="V111" i="4"/>
  <c r="Y120" i="4"/>
  <c r="Y122" i="4"/>
  <c r="Y124" i="4"/>
  <c r="Y126" i="4"/>
  <c r="I15" i="4"/>
  <c r="I19" i="4"/>
  <c r="S18" i="4"/>
  <c r="V17" i="4"/>
  <c r="N31" i="4"/>
  <c r="G31" i="4"/>
  <c r="G52" i="4"/>
  <c r="F62" i="4"/>
  <c r="N62" i="4"/>
  <c r="S60" i="4"/>
  <c r="H69" i="4"/>
  <c r="P69" i="4"/>
  <c r="S109" i="4"/>
  <c r="Y114" i="4"/>
  <c r="F134" i="4"/>
  <c r="Y128" i="4"/>
  <c r="Y133" i="4"/>
  <c r="S64" i="4"/>
  <c r="U97" i="4"/>
  <c r="V97" i="4"/>
  <c r="Y97" i="4"/>
  <c r="Y115" i="4"/>
  <c r="U115" i="4"/>
  <c r="V115" i="4"/>
  <c r="V119" i="4"/>
  <c r="S140" i="4"/>
  <c r="P31" i="4"/>
  <c r="U22" i="4"/>
  <c r="V22" i="4"/>
  <c r="S25" i="4"/>
  <c r="U30" i="4"/>
  <c r="V30" i="4"/>
  <c r="S37" i="4"/>
  <c r="V38" i="4"/>
  <c r="J40" i="4"/>
  <c r="J52" i="4"/>
  <c r="H62" i="4"/>
  <c r="P62" i="4"/>
  <c r="X69" i="4"/>
  <c r="U98" i="4"/>
  <c r="V92" i="4"/>
  <c r="V98" i="4"/>
  <c r="Y93" i="4"/>
  <c r="Y95" i="4"/>
  <c r="Y103" i="4"/>
  <c r="U103" i="4"/>
  <c r="V103" i="4"/>
  <c r="Y116" i="4"/>
  <c r="Y123" i="4"/>
  <c r="E15" i="4"/>
  <c r="H134" i="4"/>
  <c r="S43" i="4"/>
  <c r="S56" i="4"/>
  <c r="S59" i="4"/>
  <c r="U59" i="4"/>
  <c r="V59" i="4"/>
  <c r="U61" i="4"/>
  <c r="V61" i="4"/>
  <c r="S65" i="4"/>
  <c r="Y67" i="4"/>
  <c r="S76" i="4"/>
  <c r="U76" i="4"/>
  <c r="V76" i="4"/>
  <c r="F90" i="4"/>
  <c r="S82" i="4"/>
  <c r="Y104" i="4"/>
  <c r="Y106" i="4"/>
  <c r="Y108" i="4"/>
  <c r="S117" i="4"/>
  <c r="Y125" i="4"/>
  <c r="Y127" i="4"/>
  <c r="Y131" i="4"/>
  <c r="I134" i="4"/>
  <c r="Q40" i="4"/>
  <c r="L40" i="4"/>
  <c r="S83" i="4"/>
  <c r="U83" i="4"/>
  <c r="V83" i="4"/>
  <c r="U85" i="4"/>
  <c r="V85" i="4"/>
  <c r="Y85" i="4"/>
  <c r="Y87" i="4"/>
  <c r="U87" i="4"/>
  <c r="V87" i="4"/>
  <c r="Y89" i="4"/>
  <c r="U89" i="4"/>
  <c r="V89" i="4"/>
  <c r="Y105" i="4"/>
  <c r="U105" i="4"/>
  <c r="V105" i="4"/>
  <c r="U107" i="4"/>
  <c r="V107" i="4"/>
  <c r="Y107" i="4"/>
  <c r="J134" i="4"/>
  <c r="Y121" i="4"/>
  <c r="U140" i="4"/>
  <c r="V139" i="4"/>
  <c r="V140" i="4"/>
  <c r="S58" i="4"/>
  <c r="Y66" i="4"/>
  <c r="Y129" i="4"/>
  <c r="U129" i="4"/>
  <c r="V129" i="4"/>
  <c r="K134" i="4"/>
  <c r="F40" i="4"/>
  <c r="S67" i="4"/>
  <c r="U67" i="4"/>
  <c r="V67" i="4"/>
  <c r="Y84" i="4"/>
  <c r="U84" i="4"/>
  <c r="V84" i="4"/>
  <c r="Y88" i="4"/>
  <c r="U88" i="4"/>
  <c r="V88" i="4"/>
  <c r="E90" i="4"/>
  <c r="X90" i="4"/>
  <c r="S100" i="4"/>
  <c r="U100" i="4"/>
  <c r="S112" i="4"/>
  <c r="U112" i="4"/>
  <c r="V112" i="4"/>
  <c r="X79" i="4"/>
  <c r="S101" i="4"/>
  <c r="X109" i="4"/>
  <c r="X142" i="4"/>
  <c r="S113" i="4"/>
  <c r="S136" i="4"/>
  <c r="Y92" i="4"/>
  <c r="Y98" i="4"/>
  <c r="E98" i="4"/>
  <c r="S98" i="4"/>
  <c r="I137" i="4"/>
  <c r="G117" i="4"/>
  <c r="Y119" i="4"/>
  <c r="J137" i="4"/>
  <c r="G134" i="4"/>
  <c r="E137" i="4"/>
  <c r="M137" i="4"/>
  <c r="G49" i="3"/>
  <c r="H35" i="3"/>
  <c r="H49" i="3"/>
  <c r="Y18" i="4"/>
  <c r="U18" i="4"/>
  <c r="V18" i="4"/>
  <c r="U37" i="4"/>
  <c r="V37" i="4"/>
  <c r="Y37" i="4"/>
  <c r="U25" i="4"/>
  <c r="V25" i="4"/>
  <c r="Y25" i="4"/>
  <c r="Y56" i="4"/>
  <c r="U56" i="4"/>
  <c r="S62" i="4"/>
  <c r="N40" i="4"/>
  <c r="U64" i="4"/>
  <c r="S69" i="4"/>
  <c r="Y64" i="4"/>
  <c r="Y69" i="4"/>
  <c r="V81" i="4"/>
  <c r="V90" i="4"/>
  <c r="K52" i="4"/>
  <c r="U58" i="4"/>
  <c r="V58" i="4"/>
  <c r="Y58" i="4"/>
  <c r="U43" i="4"/>
  <c r="V43" i="4"/>
  <c r="Y43" i="4"/>
  <c r="P40" i="4"/>
  <c r="Y24" i="4"/>
  <c r="U24" i="4"/>
  <c r="V24" i="4"/>
  <c r="I52" i="4"/>
  <c r="S90" i="4"/>
  <c r="U60" i="4"/>
  <c r="V60" i="4"/>
  <c r="Y60" i="4"/>
  <c r="X144" i="4"/>
  <c r="S33" i="4"/>
  <c r="Y113" i="4"/>
  <c r="U113" i="4"/>
  <c r="V113" i="4"/>
  <c r="Y76" i="4"/>
  <c r="U65" i="4"/>
  <c r="V65" i="4"/>
  <c r="Y65" i="4"/>
  <c r="S16" i="4"/>
  <c r="V117" i="4"/>
  <c r="F52" i="4"/>
  <c r="S50" i="4"/>
  <c r="U109" i="4"/>
  <c r="V100" i="4"/>
  <c r="Y83" i="4"/>
  <c r="O40" i="4"/>
  <c r="U117" i="4"/>
  <c r="V42" i="4"/>
  <c r="Y112" i="4"/>
  <c r="S137" i="4"/>
  <c r="Y101" i="4"/>
  <c r="U101" i="4"/>
  <c r="V101" i="4"/>
  <c r="E19" i="4"/>
  <c r="Y81" i="4"/>
  <c r="Y90" i="4"/>
  <c r="M40" i="4"/>
  <c r="Y100" i="4"/>
  <c r="Y109" i="4"/>
  <c r="Y50" i="4"/>
  <c r="Y136" i="4"/>
  <c r="Y137" i="4"/>
  <c r="U136" i="4"/>
  <c r="U82" i="4"/>
  <c r="V82" i="4"/>
  <c r="Y82" i="4"/>
  <c r="Y16" i="4"/>
  <c r="U16" i="4"/>
  <c r="V16" i="4"/>
  <c r="U33" i="4"/>
  <c r="U40" i="4"/>
  <c r="S40" i="4"/>
  <c r="Y33" i="4"/>
  <c r="Y40" i="4"/>
  <c r="V33" i="4"/>
  <c r="V40" i="4"/>
  <c r="V56" i="4"/>
  <c r="V62" i="4"/>
  <c r="U62" i="4"/>
  <c r="Q31" i="4"/>
  <c r="S21" i="4"/>
  <c r="Y62" i="4"/>
  <c r="V64" i="4"/>
  <c r="V69" i="4"/>
  <c r="U69" i="4"/>
  <c r="M15" i="4"/>
  <c r="M19" i="4"/>
  <c r="M134" i="4"/>
  <c r="L15" i="4"/>
  <c r="S13" i="4"/>
  <c r="P15" i="4"/>
  <c r="P19" i="4"/>
  <c r="P134" i="4"/>
  <c r="E52" i="4"/>
  <c r="M52" i="4"/>
  <c r="Y117" i="4"/>
  <c r="U50" i="4"/>
  <c r="V50" i="4"/>
  <c r="P52" i="4"/>
  <c r="U90" i="4"/>
  <c r="U137" i="4"/>
  <c r="V136" i="4"/>
  <c r="V137" i="4"/>
  <c r="V109" i="4"/>
  <c r="O15" i="4"/>
  <c r="O19" i="4"/>
  <c r="O134" i="4"/>
  <c r="N15" i="4"/>
  <c r="N19" i="4"/>
  <c r="Q15" i="4"/>
  <c r="Q19" i="4"/>
  <c r="Q52" i="4"/>
  <c r="S78" i="4"/>
  <c r="S77" i="4"/>
  <c r="U13" i="4"/>
  <c r="V13" i="4"/>
  <c r="E134" i="4"/>
  <c r="S31" i="4"/>
  <c r="U21" i="4"/>
  <c r="U31" i="4"/>
  <c r="Y21" i="4"/>
  <c r="Y31" i="4"/>
  <c r="S71" i="4"/>
  <c r="L19" i="4"/>
  <c r="S72" i="4"/>
  <c r="S74" i="4"/>
  <c r="S132" i="4"/>
  <c r="O52" i="4"/>
  <c r="Q150" i="4"/>
  <c r="S150" i="4"/>
  <c r="U72" i="4"/>
  <c r="V72" i="4"/>
  <c r="Y72" i="4"/>
  <c r="N134" i="4"/>
  <c r="N52" i="4"/>
  <c r="O144" i="4"/>
  <c r="O147" i="4"/>
  <c r="O167" i="4"/>
  <c r="I79" i="4"/>
  <c r="I142" i="4"/>
  <c r="I144" i="4"/>
  <c r="I147" i="4"/>
  <c r="I167" i="4"/>
  <c r="P79" i="4"/>
  <c r="P142" i="4"/>
  <c r="P144" i="4"/>
  <c r="P147" i="4"/>
  <c r="P167" i="4"/>
  <c r="H79" i="4"/>
  <c r="H142" i="4"/>
  <c r="H144" i="4"/>
  <c r="H147" i="4"/>
  <c r="H167" i="4"/>
  <c r="U71" i="4"/>
  <c r="N79" i="4"/>
  <c r="F79" i="4"/>
  <c r="F142" i="4"/>
  <c r="F144" i="4"/>
  <c r="F147" i="4"/>
  <c r="F167" i="4"/>
  <c r="M79" i="4"/>
  <c r="M142" i="4"/>
  <c r="M144" i="4"/>
  <c r="M147" i="4"/>
  <c r="M167" i="4"/>
  <c r="L79" i="4"/>
  <c r="K79" i="4"/>
  <c r="K142" i="4"/>
  <c r="K144" i="4"/>
  <c r="K147" i="4"/>
  <c r="K167" i="4"/>
  <c r="Y71" i="4"/>
  <c r="J79" i="4"/>
  <c r="J142" i="4"/>
  <c r="J144" i="4"/>
  <c r="J147" i="4"/>
  <c r="J167" i="4"/>
  <c r="O79" i="4"/>
  <c r="O142" i="4"/>
  <c r="G79" i="4"/>
  <c r="G142" i="4"/>
  <c r="G144" i="4"/>
  <c r="G147" i="4"/>
  <c r="G167" i="4"/>
  <c r="U132" i="4"/>
  <c r="V132" i="4"/>
  <c r="Y132" i="4"/>
  <c r="S15" i="4"/>
  <c r="V21" i="4"/>
  <c r="V31" i="4"/>
  <c r="U78" i="4"/>
  <c r="V78" i="4"/>
  <c r="Y78" i="4"/>
  <c r="U74" i="4"/>
  <c r="V74" i="4"/>
  <c r="Y74" i="4"/>
  <c r="L52" i="4"/>
  <c r="S14" i="4"/>
  <c r="Y77" i="4"/>
  <c r="U77" i="4"/>
  <c r="V77" i="4"/>
  <c r="N144" i="4"/>
  <c r="N147" i="4"/>
  <c r="N167" i="4"/>
  <c r="N142" i="4"/>
  <c r="L134" i="4"/>
  <c r="V71" i="4"/>
  <c r="U14" i="4"/>
  <c r="V14" i="4"/>
  <c r="Y15" i="4"/>
  <c r="Y19" i="4"/>
  <c r="Y52" i="4"/>
  <c r="S19" i="4"/>
  <c r="U15" i="4"/>
  <c r="U19" i="4"/>
  <c r="U52" i="4"/>
  <c r="S73" i="4"/>
  <c r="E79" i="4"/>
  <c r="S79" i="4"/>
  <c r="E142" i="4"/>
  <c r="E144" i="4"/>
  <c r="E147" i="4"/>
  <c r="U73" i="4"/>
  <c r="Y73" i="4"/>
  <c r="Y79" i="4"/>
  <c r="L142" i="4"/>
  <c r="L144" i="4"/>
  <c r="L147" i="4"/>
  <c r="L167" i="4"/>
  <c r="S52" i="4"/>
  <c r="V15" i="4"/>
  <c r="V19" i="4"/>
  <c r="V52" i="4"/>
  <c r="Q134" i="4"/>
  <c r="S130" i="4"/>
  <c r="E167" i="4"/>
  <c r="E171" i="4"/>
  <c r="F169" i="4"/>
  <c r="F171" i="4"/>
  <c r="G169" i="4"/>
  <c r="G171" i="4"/>
  <c r="H169" i="4"/>
  <c r="H171" i="4"/>
  <c r="I169" i="4"/>
  <c r="I171" i="4"/>
  <c r="J169" i="4"/>
  <c r="J171" i="4"/>
  <c r="K169" i="4"/>
  <c r="K171" i="4"/>
  <c r="L169" i="4"/>
  <c r="L171" i="4"/>
  <c r="M169" i="4"/>
  <c r="M171" i="4"/>
  <c r="N169" i="4"/>
  <c r="N171" i="4"/>
  <c r="O169" i="4"/>
  <c r="O171" i="4"/>
  <c r="P169" i="4"/>
  <c r="P171" i="4"/>
  <c r="V73" i="4"/>
  <c r="V79" i="4"/>
  <c r="U79" i="4"/>
  <c r="Y130" i="4"/>
  <c r="Y134" i="4"/>
  <c r="Y142" i="4"/>
  <c r="Y144" i="4"/>
  <c r="U130" i="4"/>
  <c r="Q142" i="4"/>
  <c r="S134" i="4"/>
  <c r="S142" i="4"/>
  <c r="P172" i="4"/>
  <c r="H172" i="4"/>
  <c r="O172" i="4"/>
  <c r="G172" i="4"/>
  <c r="N172" i="4"/>
  <c r="F172" i="4"/>
  <c r="M172" i="4"/>
  <c r="E172" i="4"/>
  <c r="L172" i="4"/>
  <c r="K172" i="4"/>
  <c r="J172" i="4"/>
  <c r="I172" i="4"/>
  <c r="S144" i="4"/>
  <c r="Q155" i="4"/>
  <c r="S155" i="4"/>
  <c r="Q144" i="4"/>
  <c r="Q147" i="4"/>
  <c r="S147" i="4"/>
  <c r="V130" i="4"/>
  <c r="V134" i="4"/>
  <c r="V142" i="4"/>
  <c r="V144" i="4"/>
  <c r="U134" i="4"/>
  <c r="U142" i="4"/>
  <c r="U144" i="4"/>
  <c r="F30" i="3"/>
  <c r="F31" i="3"/>
  <c r="C30" i="3"/>
  <c r="C31" i="3"/>
  <c r="M21" i="3"/>
  <c r="L21" i="3"/>
  <c r="M20" i="3"/>
  <c r="L20" i="3"/>
  <c r="M19" i="3"/>
  <c r="L19" i="3"/>
  <c r="M18" i="3"/>
  <c r="L18" i="3"/>
  <c r="M16" i="3"/>
  <c r="L16" i="3"/>
  <c r="M15" i="3"/>
  <c r="L15" i="3"/>
  <c r="M14" i="3"/>
  <c r="L14" i="3"/>
  <c r="M13" i="3"/>
  <c r="L13" i="3"/>
  <c r="M12" i="3"/>
  <c r="L12" i="3"/>
  <c r="O23" i="3"/>
  <c r="M11" i="3"/>
  <c r="L11" i="3"/>
  <c r="M10" i="3"/>
  <c r="L10" i="3"/>
  <c r="M9" i="3"/>
  <c r="O10" i="1"/>
  <c r="O12" i="1"/>
  <c r="S80" i="2"/>
  <c r="F22" i="1"/>
  <c r="O19" i="1"/>
  <c r="J21" i="1"/>
  <c r="F21" i="1"/>
  <c r="O16" i="1"/>
  <c r="O14" i="1"/>
  <c r="S165" i="2"/>
  <c r="P164" i="2"/>
  <c r="O164" i="2"/>
  <c r="M164" i="2"/>
  <c r="N164" i="2"/>
  <c r="K164" i="2"/>
  <c r="S164" i="2"/>
  <c r="S163" i="2"/>
  <c r="S161" i="2"/>
  <c r="S160" i="2"/>
  <c r="S158" i="2"/>
  <c r="S157" i="2"/>
  <c r="Q156" i="2"/>
  <c r="S156" i="2"/>
  <c r="S154" i="2"/>
  <c r="S153" i="2"/>
  <c r="S152" i="2"/>
  <c r="S151" i="2"/>
  <c r="Q149" i="2"/>
  <c r="P149" i="2"/>
  <c r="K149" i="2"/>
  <c r="E149" i="2"/>
  <c r="T144" i="2"/>
  <c r="R144" i="2"/>
  <c r="Q140" i="2"/>
  <c r="X140" i="2"/>
  <c r="P139" i="2"/>
  <c r="P140" i="2"/>
  <c r="O139" i="2"/>
  <c r="O140" i="2"/>
  <c r="N139" i="2"/>
  <c r="N140" i="2"/>
  <c r="M139" i="2"/>
  <c r="M140" i="2"/>
  <c r="L139" i="2"/>
  <c r="L140" i="2"/>
  <c r="K139" i="2"/>
  <c r="K140" i="2"/>
  <c r="J139" i="2"/>
  <c r="J140" i="2"/>
  <c r="I139" i="2"/>
  <c r="I140" i="2"/>
  <c r="H139" i="2"/>
  <c r="H140" i="2"/>
  <c r="G139" i="2"/>
  <c r="G140" i="2"/>
  <c r="F139" i="2"/>
  <c r="F140" i="2"/>
  <c r="E140" i="2"/>
  <c r="X137" i="2"/>
  <c r="Q137" i="2"/>
  <c r="P137" i="2"/>
  <c r="O137" i="2"/>
  <c r="N137" i="2"/>
  <c r="M149" i="2"/>
  <c r="L137" i="2"/>
  <c r="K137" i="2"/>
  <c r="J149" i="2"/>
  <c r="I149" i="2"/>
  <c r="H137" i="2"/>
  <c r="G137" i="2"/>
  <c r="F137" i="2"/>
  <c r="E137" i="2"/>
  <c r="S131" i="2"/>
  <c r="S129" i="2"/>
  <c r="V129" i="2"/>
  <c r="S128" i="2"/>
  <c r="V128" i="2"/>
  <c r="Y120" i="2"/>
  <c r="S120" i="2"/>
  <c r="V120" i="2"/>
  <c r="X134" i="2"/>
  <c r="Q117" i="2"/>
  <c r="S116" i="2"/>
  <c r="V116" i="2"/>
  <c r="X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X109" i="2"/>
  <c r="Q109" i="2"/>
  <c r="S107" i="2"/>
  <c r="S106" i="2"/>
  <c r="S105" i="2"/>
  <c r="S102" i="2"/>
  <c r="P109" i="2"/>
  <c r="O109" i="2"/>
  <c r="M109" i="2"/>
  <c r="L109" i="2"/>
  <c r="K109" i="2"/>
  <c r="J109" i="2"/>
  <c r="I109" i="2"/>
  <c r="H109" i="2"/>
  <c r="G109" i="2"/>
  <c r="E109" i="2"/>
  <c r="T98" i="2"/>
  <c r="P98" i="2"/>
  <c r="H98" i="2"/>
  <c r="S95" i="2"/>
  <c r="Y95" i="2"/>
  <c r="N98" i="2"/>
  <c r="L98" i="2"/>
  <c r="J98" i="2"/>
  <c r="Q98" i="2"/>
  <c r="O98" i="2"/>
  <c r="M98" i="2"/>
  <c r="I98" i="2"/>
  <c r="G98" i="2"/>
  <c r="E98" i="2"/>
  <c r="Q89" i="2"/>
  <c r="Q90" i="2"/>
  <c r="S84" i="2"/>
  <c r="AA83" i="2"/>
  <c r="S83" i="2"/>
  <c r="V83" i="2"/>
  <c r="Q79" i="2"/>
  <c r="J79" i="2"/>
  <c r="S75" i="2"/>
  <c r="V75" i="2"/>
  <c r="I79" i="2"/>
  <c r="E79" i="2"/>
  <c r="X69" i="2"/>
  <c r="R69" i="2"/>
  <c r="Q69" i="2"/>
  <c r="S68" i="2"/>
  <c r="Y68" i="2"/>
  <c r="H69" i="2"/>
  <c r="P69" i="2"/>
  <c r="O69" i="2"/>
  <c r="M69" i="2"/>
  <c r="L69" i="2"/>
  <c r="K69" i="2"/>
  <c r="J69" i="2"/>
  <c r="I69" i="2"/>
  <c r="G69" i="2"/>
  <c r="S64" i="2"/>
  <c r="R62" i="2"/>
  <c r="Q62" i="2"/>
  <c r="N62" i="2"/>
  <c r="S57" i="2"/>
  <c r="Y57" i="2"/>
  <c r="P62" i="2"/>
  <c r="O62" i="2"/>
  <c r="M62" i="2"/>
  <c r="L62" i="2"/>
  <c r="K62" i="2"/>
  <c r="J62" i="2"/>
  <c r="I62" i="2"/>
  <c r="H62" i="2"/>
  <c r="G62" i="2"/>
  <c r="E62" i="2"/>
  <c r="Q50" i="2"/>
  <c r="L50" i="2"/>
  <c r="H50" i="2"/>
  <c r="S49" i="2"/>
  <c r="S48" i="2"/>
  <c r="S47" i="2"/>
  <c r="S46" i="2"/>
  <c r="S45" i="2"/>
  <c r="S44" i="2"/>
  <c r="S43" i="2"/>
  <c r="X50" i="2"/>
  <c r="P50" i="2"/>
  <c r="O50" i="2"/>
  <c r="N50" i="2"/>
  <c r="M50" i="2"/>
  <c r="K50" i="2"/>
  <c r="K52" i="2"/>
  <c r="J50" i="2"/>
  <c r="I50" i="2"/>
  <c r="G50" i="2"/>
  <c r="F50" i="2"/>
  <c r="E50" i="2"/>
  <c r="S39" i="2"/>
  <c r="S38" i="2"/>
  <c r="S36" i="2"/>
  <c r="Q34" i="2"/>
  <c r="N40" i="2"/>
  <c r="H40" i="2"/>
  <c r="S34" i="2"/>
  <c r="X40" i="2"/>
  <c r="O40" i="2"/>
  <c r="M40" i="2"/>
  <c r="L40" i="2"/>
  <c r="K40" i="2"/>
  <c r="J40" i="2"/>
  <c r="E40" i="2"/>
  <c r="H31" i="2"/>
  <c r="S30" i="2"/>
  <c r="S28" i="2"/>
  <c r="Y28" i="2"/>
  <c r="S27" i="2"/>
  <c r="P31" i="2"/>
  <c r="S24" i="2"/>
  <c r="Q23" i="2"/>
  <c r="J31" i="2"/>
  <c r="S22" i="2"/>
  <c r="X31" i="2"/>
  <c r="O31" i="2"/>
  <c r="N31" i="2"/>
  <c r="M31" i="2"/>
  <c r="L31" i="2"/>
  <c r="K31" i="2"/>
  <c r="I31" i="2"/>
  <c r="G31" i="2"/>
  <c r="F31" i="2"/>
  <c r="E31" i="2"/>
  <c r="S17" i="2"/>
  <c r="X19" i="2"/>
  <c r="O19" i="2"/>
  <c r="N19" i="2"/>
  <c r="M19" i="2"/>
  <c r="L19" i="2"/>
  <c r="K19" i="2"/>
  <c r="J19" i="2"/>
  <c r="I19" i="2"/>
  <c r="H19" i="2"/>
  <c r="G19" i="2"/>
  <c r="E19" i="2"/>
  <c r="Q7" i="2"/>
  <c r="F4" i="2"/>
  <c r="G4" i="2"/>
  <c r="H4" i="2"/>
  <c r="I4" i="2"/>
  <c r="J4" i="2"/>
  <c r="K4" i="2"/>
  <c r="L4" i="2"/>
  <c r="M4" i="2"/>
  <c r="N4" i="2"/>
  <c r="O4" i="2"/>
  <c r="P4" i="2"/>
  <c r="L2" i="2"/>
  <c r="L3" i="3"/>
  <c r="M3" i="3"/>
  <c r="H6" i="3"/>
  <c r="O21" i="1"/>
  <c r="Y27" i="2"/>
  <c r="V27" i="2"/>
  <c r="Y38" i="2"/>
  <c r="V38" i="2"/>
  <c r="Y45" i="2"/>
  <c r="V45" i="2"/>
  <c r="Y49" i="2"/>
  <c r="V49" i="2"/>
  <c r="AA84" i="2"/>
  <c r="V84" i="2"/>
  <c r="Y84" i="2"/>
  <c r="V30" i="2"/>
  <c r="Y30" i="2"/>
  <c r="Y34" i="2"/>
  <c r="V34" i="2"/>
  <c r="Y59" i="2"/>
  <c r="L52" i="2"/>
  <c r="E52" i="2"/>
  <c r="M52" i="2"/>
  <c r="Y46" i="2"/>
  <c r="V46" i="2"/>
  <c r="H52" i="2"/>
  <c r="N52" i="2"/>
  <c r="O52" i="2"/>
  <c r="Y44" i="2"/>
  <c r="V44" i="2"/>
  <c r="Y48" i="2"/>
  <c r="V48" i="2"/>
  <c r="Y24" i="2"/>
  <c r="V24" i="2"/>
  <c r="Y22" i="2"/>
  <c r="V22" i="2"/>
  <c r="S37" i="2"/>
  <c r="Y64" i="2"/>
  <c r="V64" i="2"/>
  <c r="Y36" i="2"/>
  <c r="V36" i="2"/>
  <c r="S29" i="2"/>
  <c r="Y39" i="2"/>
  <c r="V39" i="2"/>
  <c r="X52" i="2"/>
  <c r="Y17" i="2"/>
  <c r="V17" i="2"/>
  <c r="J52" i="2"/>
  <c r="Y43" i="2"/>
  <c r="V43" i="2"/>
  <c r="Y47" i="2"/>
  <c r="V47" i="2"/>
  <c r="F19" i="2"/>
  <c r="S23" i="2"/>
  <c r="F40" i="2"/>
  <c r="F52" i="2"/>
  <c r="S13" i="2"/>
  <c r="V13" i="2"/>
  <c r="G40" i="2"/>
  <c r="G52" i="2"/>
  <c r="S58" i="2"/>
  <c r="V58" i="2"/>
  <c r="S65" i="2"/>
  <c r="S69" i="2"/>
  <c r="E69" i="2"/>
  <c r="Y83" i="2"/>
  <c r="F109" i="2"/>
  <c r="S100" i="2"/>
  <c r="N109" i="2"/>
  <c r="S108" i="2"/>
  <c r="S117" i="2"/>
  <c r="Y115" i="2"/>
  <c r="M134" i="2"/>
  <c r="S16" i="2"/>
  <c r="S26" i="2"/>
  <c r="V28" i="2"/>
  <c r="S35" i="2"/>
  <c r="I40" i="2"/>
  <c r="I52" i="2"/>
  <c r="S56" i="2"/>
  <c r="F69" i="2"/>
  <c r="N69" i="2"/>
  <c r="Y82" i="2"/>
  <c r="X98" i="2"/>
  <c r="Y102" i="2"/>
  <c r="V102" i="2"/>
  <c r="S113" i="2"/>
  <c r="V113" i="2"/>
  <c r="S119" i="2"/>
  <c r="N134" i="2"/>
  <c r="S121" i="2"/>
  <c r="V121" i="2"/>
  <c r="S92" i="2"/>
  <c r="V92" i="2"/>
  <c r="Y105" i="2"/>
  <c r="V105" i="2"/>
  <c r="Q15" i="2"/>
  <c r="S42" i="2"/>
  <c r="F62" i="2"/>
  <c r="S82" i="2"/>
  <c r="S89" i="2"/>
  <c r="K98" i="2"/>
  <c r="S93" i="2"/>
  <c r="S94" i="2"/>
  <c r="Y107" i="2"/>
  <c r="V107" i="2"/>
  <c r="O134" i="2"/>
  <c r="V57" i="2"/>
  <c r="S67" i="2"/>
  <c r="X79" i="2"/>
  <c r="L90" i="2"/>
  <c r="S88" i="2"/>
  <c r="X90" i="2"/>
  <c r="V95" i="2"/>
  <c r="S104" i="2"/>
  <c r="S115" i="2"/>
  <c r="V115" i="2"/>
  <c r="S123" i="2"/>
  <c r="V123" i="2"/>
  <c r="Y129" i="2"/>
  <c r="V131" i="2"/>
  <c r="Y131" i="2"/>
  <c r="S25" i="2"/>
  <c r="S61" i="2"/>
  <c r="V61" i="2"/>
  <c r="Y75" i="2"/>
  <c r="S81" i="2"/>
  <c r="P90" i="2"/>
  <c r="S97" i="2"/>
  <c r="S101" i="2"/>
  <c r="S112" i="2"/>
  <c r="V112" i="2"/>
  <c r="Y116" i="2"/>
  <c r="S140" i="2"/>
  <c r="K90" i="2"/>
  <c r="I90" i="2"/>
  <c r="H90" i="2"/>
  <c r="N90" i="2"/>
  <c r="F90" i="2"/>
  <c r="X62" i="2"/>
  <c r="X142" i="2"/>
  <c r="S60" i="2"/>
  <c r="S66" i="2"/>
  <c r="V68" i="2"/>
  <c r="K79" i="2"/>
  <c r="S76" i="2"/>
  <c r="V76" i="2"/>
  <c r="Y106" i="2"/>
  <c r="V106" i="2"/>
  <c r="Y113" i="2"/>
  <c r="Y121" i="2"/>
  <c r="S59" i="2"/>
  <c r="V59" i="2"/>
  <c r="G90" i="2"/>
  <c r="S96" i="2"/>
  <c r="S103" i="2"/>
  <c r="S114" i="2"/>
  <c r="V114" i="2"/>
  <c r="S122" i="2"/>
  <c r="V122" i="2"/>
  <c r="S127" i="2"/>
  <c r="V127" i="2"/>
  <c r="Y128" i="2"/>
  <c r="S136" i="2"/>
  <c r="I137" i="2"/>
  <c r="S137" i="2"/>
  <c r="G134" i="2"/>
  <c r="J137" i="2"/>
  <c r="S139" i="2"/>
  <c r="V139" i="2"/>
  <c r="V140" i="2"/>
  <c r="F149" i="2"/>
  <c r="S149" i="2"/>
  <c r="S111" i="2"/>
  <c r="V111" i="2"/>
  <c r="H134" i="2"/>
  <c r="S133" i="2"/>
  <c r="G149" i="2"/>
  <c r="M90" i="2"/>
  <c r="I134" i="2"/>
  <c r="H149" i="2"/>
  <c r="F98" i="2"/>
  <c r="S98" i="2"/>
  <c r="M137" i="2"/>
  <c r="S86" i="2"/>
  <c r="O90" i="2"/>
  <c r="S87" i="2"/>
  <c r="Y111" i="2"/>
  <c r="K134" i="2"/>
  <c r="K142" i="2"/>
  <c r="K144" i="2"/>
  <c r="K147" i="2"/>
  <c r="K167" i="2"/>
  <c r="L134" i="2"/>
  <c r="S124" i="2"/>
  <c r="V124" i="2"/>
  <c r="F134" i="2"/>
  <c r="D6" i="3"/>
  <c r="K6" i="3"/>
  <c r="L2" i="3"/>
  <c r="Y35" i="2"/>
  <c r="V35" i="2"/>
  <c r="V133" i="2"/>
  <c r="Y133" i="2"/>
  <c r="Y26" i="2"/>
  <c r="V26" i="2"/>
  <c r="AA86" i="2"/>
  <c r="Y86" i="2"/>
  <c r="V86" i="2"/>
  <c r="Y16" i="2"/>
  <c r="V16" i="2"/>
  <c r="Y25" i="2"/>
  <c r="V25" i="2"/>
  <c r="S125" i="2"/>
  <c r="Y97" i="2"/>
  <c r="V97" i="2"/>
  <c r="Y104" i="2"/>
  <c r="V104" i="2"/>
  <c r="Y67" i="2"/>
  <c r="V67" i="2"/>
  <c r="Y122" i="2"/>
  <c r="Y112" i="2"/>
  <c r="Y117" i="2"/>
  <c r="Y108" i="2"/>
  <c r="V108" i="2"/>
  <c r="Y58" i="2"/>
  <c r="J134" i="2"/>
  <c r="J142" i="2"/>
  <c r="J144" i="2"/>
  <c r="J147" i="2"/>
  <c r="J167" i="2"/>
  <c r="Y66" i="2"/>
  <c r="V66" i="2"/>
  <c r="S14" i="2"/>
  <c r="V14" i="2"/>
  <c r="P15" i="2"/>
  <c r="Y76" i="2"/>
  <c r="Y100" i="2"/>
  <c r="V100" i="2"/>
  <c r="Y29" i="2"/>
  <c r="V29" i="2"/>
  <c r="Y61" i="2"/>
  <c r="V89" i="2"/>
  <c r="AA89" i="2"/>
  <c r="Y136" i="2"/>
  <c r="Y137" i="2"/>
  <c r="V136" i="2"/>
  <c r="V137" i="2"/>
  <c r="V60" i="2"/>
  <c r="Y60" i="2"/>
  <c r="Y124" i="2"/>
  <c r="V88" i="2"/>
  <c r="AA88" i="2"/>
  <c r="Y114" i="2"/>
  <c r="J90" i="2"/>
  <c r="Y42" i="2"/>
  <c r="Y50" i="2"/>
  <c r="V42" i="2"/>
  <c r="V50" i="2"/>
  <c r="S50" i="2"/>
  <c r="Q31" i="2"/>
  <c r="Q40" i="2"/>
  <c r="Q52" i="2"/>
  <c r="AA87" i="2"/>
  <c r="Y87" i="2"/>
  <c r="V87" i="2"/>
  <c r="Y103" i="2"/>
  <c r="V103" i="2"/>
  <c r="AA81" i="2"/>
  <c r="Y81" i="2"/>
  <c r="V81" i="2"/>
  <c r="AA82" i="2"/>
  <c r="V82" i="2"/>
  <c r="S21" i="2"/>
  <c r="S18" i="2"/>
  <c r="Y123" i="2"/>
  <c r="Y88" i="2"/>
  <c r="Y69" i="2"/>
  <c r="Y119" i="2"/>
  <c r="V119" i="2"/>
  <c r="S126" i="2"/>
  <c r="V117" i="2"/>
  <c r="S109" i="2"/>
  <c r="Q19" i="2"/>
  <c r="Y56" i="2"/>
  <c r="Y62" i="2"/>
  <c r="S62" i="2"/>
  <c r="V56" i="2"/>
  <c r="P40" i="2"/>
  <c r="Y23" i="2"/>
  <c r="V23" i="2"/>
  <c r="E90" i="2"/>
  <c r="Y96" i="2"/>
  <c r="V96" i="2"/>
  <c r="V98" i="2"/>
  <c r="S85" i="2"/>
  <c r="Y94" i="2"/>
  <c r="V94" i="2"/>
  <c r="I142" i="2"/>
  <c r="I144" i="2"/>
  <c r="I147" i="2"/>
  <c r="I167" i="2"/>
  <c r="Y127" i="2"/>
  <c r="Y92" i="2"/>
  <c r="X144" i="2"/>
  <c r="Y37" i="2"/>
  <c r="V37" i="2"/>
  <c r="Y65" i="2"/>
  <c r="V65" i="2"/>
  <c r="V69" i="2"/>
  <c r="Y139" i="2"/>
  <c r="Y140" i="2"/>
  <c r="Y89" i="2"/>
  <c r="Y101" i="2"/>
  <c r="V101" i="2"/>
  <c r="Y93" i="2"/>
  <c r="V93" i="2"/>
  <c r="E134" i="2"/>
  <c r="V109" i="2"/>
  <c r="H79" i="2"/>
  <c r="H142" i="2"/>
  <c r="H144" i="2"/>
  <c r="H147" i="2"/>
  <c r="H167" i="2"/>
  <c r="L79" i="2"/>
  <c r="L142" i="2"/>
  <c r="L144" i="2"/>
  <c r="L147" i="2"/>
  <c r="L167" i="2"/>
  <c r="G79" i="2"/>
  <c r="G142" i="2"/>
  <c r="G144" i="2"/>
  <c r="G147" i="2"/>
  <c r="G167" i="2"/>
  <c r="S74" i="2"/>
  <c r="O79" i="2"/>
  <c r="O142" i="2"/>
  <c r="O144" i="2"/>
  <c r="O147" i="2"/>
  <c r="O167" i="2"/>
  <c r="S77" i="2"/>
  <c r="M79" i="2"/>
  <c r="M142" i="2"/>
  <c r="M144" i="2"/>
  <c r="M147" i="2"/>
  <c r="M167" i="2"/>
  <c r="Y98" i="2"/>
  <c r="Q150" i="2"/>
  <c r="S150" i="2"/>
  <c r="Y109" i="2"/>
  <c r="S33" i="2"/>
  <c r="V62" i="2"/>
  <c r="S90" i="2"/>
  <c r="E142" i="2"/>
  <c r="E144" i="2"/>
  <c r="E147" i="2"/>
  <c r="Y18" i="2"/>
  <c r="V18" i="2"/>
  <c r="S72" i="2"/>
  <c r="AA85" i="2"/>
  <c r="V85" i="2"/>
  <c r="V90" i="2"/>
  <c r="Y85" i="2"/>
  <c r="Y90" i="2"/>
  <c r="V125" i="2"/>
  <c r="Y125" i="2"/>
  <c r="N79" i="2"/>
  <c r="N142" i="2"/>
  <c r="N144" i="2"/>
  <c r="N147" i="2"/>
  <c r="N167" i="2"/>
  <c r="Y21" i="2"/>
  <c r="Y31" i="2"/>
  <c r="V21" i="2"/>
  <c r="V31" i="2"/>
  <c r="S31" i="2"/>
  <c r="Y126" i="2"/>
  <c r="V126" i="2"/>
  <c r="P19" i="2"/>
  <c r="S15" i="2"/>
  <c r="P52" i="2"/>
  <c r="S78" i="2"/>
  <c r="F79" i="2"/>
  <c r="S132" i="2"/>
  <c r="Y33" i="2"/>
  <c r="Y40" i="2"/>
  <c r="S40" i="2"/>
  <c r="V33" i="2"/>
  <c r="V40" i="2"/>
  <c r="V77" i="2"/>
  <c r="Y77" i="2"/>
  <c r="S71" i="2"/>
  <c r="V72" i="2"/>
  <c r="Y72" i="2"/>
  <c r="Y15" i="2"/>
  <c r="Y19" i="2"/>
  <c r="V15" i="2"/>
  <c r="V19" i="2"/>
  <c r="S19" i="2"/>
  <c r="Q134" i="2"/>
  <c r="Q142" i="2"/>
  <c r="V74" i="2"/>
  <c r="Y74" i="2"/>
  <c r="P134" i="2"/>
  <c r="E167" i="2"/>
  <c r="E171" i="2"/>
  <c r="F169" i="2"/>
  <c r="V52" i="2"/>
  <c r="S52" i="2"/>
  <c r="S130" i="2"/>
  <c r="Y52" i="2"/>
  <c r="Q155" i="2"/>
  <c r="S155" i="2"/>
  <c r="Q144" i="2"/>
  <c r="Q147" i="2"/>
  <c r="S134" i="2"/>
  <c r="V132" i="2"/>
  <c r="Y132" i="2"/>
  <c r="V71" i="2"/>
  <c r="Y71" i="2"/>
  <c r="F142" i="2"/>
  <c r="F144" i="2"/>
  <c r="F147" i="2"/>
  <c r="Y78" i="2"/>
  <c r="V78" i="2"/>
  <c r="F167" i="2"/>
  <c r="F171" i="2"/>
  <c r="G169" i="2"/>
  <c r="G171" i="2"/>
  <c r="H169" i="2"/>
  <c r="H171" i="2"/>
  <c r="I169" i="2"/>
  <c r="I171" i="2"/>
  <c r="J169" i="2"/>
  <c r="J171" i="2"/>
  <c r="K169" i="2"/>
  <c r="K171" i="2"/>
  <c r="L169" i="2"/>
  <c r="L171" i="2"/>
  <c r="M169" i="2"/>
  <c r="M171" i="2"/>
  <c r="N169" i="2"/>
  <c r="N171" i="2"/>
  <c r="O169" i="2"/>
  <c r="O171" i="2"/>
  <c r="P169" i="2"/>
  <c r="V130" i="2"/>
  <c r="V134" i="2"/>
  <c r="Y130" i="2"/>
  <c r="Y134" i="2"/>
  <c r="S73" i="2"/>
  <c r="P79" i="2"/>
  <c r="P142" i="2"/>
  <c r="P144" i="2"/>
  <c r="P147" i="2"/>
  <c r="S79" i="2"/>
  <c r="S142" i="2"/>
  <c r="V73" i="2"/>
  <c r="V79" i="2"/>
  <c r="V142" i="2"/>
  <c r="V144" i="2"/>
  <c r="Y73" i="2"/>
  <c r="Y79" i="2"/>
  <c r="Y142" i="2"/>
  <c r="Y144" i="2"/>
  <c r="P172" i="2"/>
  <c r="H172" i="2"/>
  <c r="O172" i="2"/>
  <c r="G172" i="2"/>
  <c r="N172" i="2"/>
  <c r="F172" i="2"/>
  <c r="M172" i="2"/>
  <c r="E172" i="2"/>
  <c r="L172" i="2"/>
  <c r="K172" i="2"/>
  <c r="J172" i="2"/>
  <c r="I172" i="2"/>
  <c r="S144" i="2"/>
  <c r="P167" i="2"/>
  <c r="P171" i="2"/>
  <c r="S147" i="2"/>
  <c r="M10" i="1"/>
  <c r="L8" i="1"/>
  <c r="L3" i="1"/>
  <c r="D6" i="1"/>
  <c r="F29" i="1"/>
  <c r="C29" i="1"/>
  <c r="F28" i="1"/>
  <c r="C28" i="1"/>
  <c r="H39" i="1"/>
  <c r="G39" i="1"/>
  <c r="I4" i="1"/>
  <c r="M3" i="1"/>
  <c r="H6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L10" i="1"/>
  <c r="M9" i="1"/>
  <c r="L9" i="1"/>
  <c r="M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Geetha Huma</author>
  </authors>
  <commentList>
    <comment ref="O5" authorId="0" shapeId="0" xr:uid="{1B0EAD27-1C8D-4BAF-90AE-C73C6BDCF6C1}">
      <text>
        <r>
          <rPr>
            <b/>
            <sz val="9"/>
            <color indexed="81"/>
            <rFont val="Tahoma"/>
            <charset val="1"/>
          </rPr>
          <t>Geetha Huma:</t>
        </r>
        <r>
          <rPr>
            <sz val="9"/>
            <color indexed="81"/>
            <rFont val="Tahoma"/>
            <charset val="1"/>
          </rPr>
          <t xml:space="preserve">
To be completed next year.</t>
        </r>
      </text>
    </comment>
    <comment ref="F10" authorId="0" shapeId="0" xr:uid="{9243E65F-0E65-4349-86AE-E8C133F4ECCD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PD budget, payroll expenses included in Goal 1.5 below</t>
        </r>
      </text>
    </comment>
    <comment ref="F11" authorId="0" shapeId="0" xr:uid="{7AA9A5D9-BF15-4256-86B4-6D25035BE34F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IT, Software plus Operations Coordinator (Naeem Rashid)</t>
        </r>
      </text>
    </comment>
    <comment ref="G15" authorId="0" shapeId="0" xr:uid="{EFE10B71-822C-488A-93FC-80A9818ED8D6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Rent - funded by SB740</t>
        </r>
      </text>
    </comment>
    <comment ref="F17" authorId="0" shapeId="0" xr:uid="{53CA02EB-C139-406C-A3BF-1A7E0E461A77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Food cost, pupil services clerk and office manager</t>
        </r>
      </text>
    </comment>
    <comment ref="F20" authorId="0" shapeId="0" xr:uid="{5DD27826-5D52-4B22-8DED-2B7E773A3A16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After school program</t>
        </r>
      </text>
    </comment>
    <comment ref="O20" authorId="0" shapeId="0" xr:uid="{4CC432A2-7DC8-4A89-BA4B-FA15BABC8923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Intervention teachers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Geetha Huma</author>
  </authors>
  <commentList>
    <comment ref="O19" authorId="0" shapeId="0" xr:uid="{27EE0B83-23E5-42BB-8330-5541F626A5AA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Intervention teachers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Willa Zhai</author>
    <author>Karen Bchakjian</author>
    <author>Jacqueline Sanchez</author>
    <author>Sam Burris</author>
    <author>Geetha Huma</author>
    <author>Lindsey Chow</author>
  </authors>
  <commentList>
    <comment ref="F15" authorId="0" shapeId="0" xr:uid="{E94FB6BF-8F37-4C8D-BB66-CFADC2090287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LCFF July21</t>
        </r>
      </text>
    </comment>
    <comment ref="H15" authorId="1" shapeId="0" xr:uid="{877FAA35-55BA-47BA-83C4-7F07CEF08C5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LCFF Sept 21 Actual</t>
        </r>
      </text>
    </comment>
    <comment ref="I15" authorId="1" shapeId="0" xr:uid="{35F17A67-8FBC-42C3-AA0F-E73566DE1FEC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LCFF Oct 21 Actual</t>
        </r>
      </text>
    </comment>
    <comment ref="J15" authorId="1" shapeId="0" xr:uid="{374F69A5-72B5-48A9-BCFA-0CC8C2D02565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LCFF Nov 21 Actual</t>
        </r>
      </text>
    </comment>
    <comment ref="K15" authorId="1" shapeId="0" xr:uid="{B3D2DAAD-D03E-4506-A209-43E61FAFFD7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LCFF Dec 21 Actual</t>
        </r>
      </text>
    </comment>
    <comment ref="L15" authorId="2" shapeId="0" xr:uid="{DFFBE5F5-F138-45D4-904B-76BE6B7D6453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FY2122 LCFF Jan</t>
        </r>
      </text>
    </comment>
    <comment ref="M15" authorId="2" shapeId="0" xr:uid="{C1890B03-8CEC-422B-9833-FACA33AEC00D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LCFF Feb</t>
        </r>
      </text>
    </comment>
    <comment ref="N15" authorId="2" shapeId="0" xr:uid="{5FC40451-C2AF-495C-AC1B-CA3285511D4E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LCFF March</t>
        </r>
      </text>
    </comment>
    <comment ref="O15" authorId="2" shapeId="0" xr:uid="{F003781E-E1BE-48B3-B990-8802C7C3E5D2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LCFF April</t>
        </r>
      </text>
    </comment>
    <comment ref="H16" authorId="1" shapeId="0" xr:uid="{75562521-964B-4F68-A628-A1F8D8D894AE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FY2122 Q1 EPA</t>
        </r>
      </text>
    </comment>
    <comment ref="K16" authorId="1" shapeId="0" xr:uid="{01C9E9EB-D493-4C6D-A1BD-62EA0BE3600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FY2122 Q2 EPA</t>
        </r>
      </text>
    </comment>
    <comment ref="M16" authorId="2" shapeId="0" xr:uid="{74E5B264-0395-4E25-A7B9-401EB4849E82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EPA Q3 Received</t>
        </r>
      </text>
    </comment>
    <comment ref="N17" authorId="2" shapeId="0" xr:uid="{7C725BA8-1843-4238-8432-578721E49FC6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PY In-Lieu and LCFF Adjustments</t>
        </r>
      </text>
    </comment>
    <comment ref="O17" authorId="2" shapeId="0" xr:uid="{E6013481-80E1-445C-B7CC-D8D4FAD5F9F8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PY LCFF Adjustments</t>
        </r>
      </text>
    </comment>
    <comment ref="E18" authorId="1" shapeId="0" xr:uid="{4F29F46D-8DFB-4D66-A006-9A05558D9516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July In-Lieu
</t>
        </r>
      </text>
    </comment>
    <comment ref="F18" authorId="0" shapeId="0" xr:uid="{BD2FAB3C-2740-4799-956E-A7DF03F02AB4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Aug In-lieu</t>
        </r>
      </text>
    </comment>
    <comment ref="H18" authorId="1" shapeId="0" xr:uid="{E47E08FD-48BF-4595-B49A-7013C8A643E4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based off actual RSA report</t>
        </r>
      </text>
    </comment>
    <comment ref="I18" authorId="1" shapeId="0" xr:uid="{D5B2AADC-FA7C-4B32-B329-A3B28E58AFD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based off actual RSA report</t>
        </r>
      </text>
    </comment>
    <comment ref="L18" authorId="2" shapeId="0" xr:uid="{7FBC64B3-2F18-45A1-8FEA-C70CE0227647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FY2122 In-Lieu Feb</t>
        </r>
      </text>
    </comment>
    <comment ref="M18" authorId="2" shapeId="0" xr:uid="{F44D3A8D-EA3A-4FD2-A6AF-D7145A77D979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In-Lieu March accrued per schedule</t>
        </r>
      </text>
    </comment>
    <comment ref="N18" authorId="2" shapeId="0" xr:uid="{26A93FDE-9B42-4DD0-99FD-C88CAC4EFFF2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In-Lieu April accrued per schedule</t>
        </r>
      </text>
    </comment>
    <comment ref="O18" authorId="2" shapeId="0" xr:uid="{B7B5EFB7-D676-44EE-BAB8-8C247E20F59D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In-Lieu May</t>
        </r>
      </text>
    </comment>
    <comment ref="H21" authorId="1" shapeId="0" xr:uid="{EA9F657B-9049-4D91-A08B-90B3AE76BF28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Accrused based off actual RSA report</t>
        </r>
      </text>
    </comment>
    <comment ref="I21" authorId="1" shapeId="0" xr:uid="{01AB8BD1-7631-48E8-9258-195256765A7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based off actual RSA report</t>
        </r>
      </text>
    </comment>
    <comment ref="M21" authorId="2" shapeId="0" xr:uid="{F04E54C4-4B25-4379-BDD4-9F51718F64FE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Accrued per RSA schedule</t>
        </r>
      </text>
    </comment>
    <comment ref="N21" authorId="2" shapeId="0" xr:uid="{5247ABEF-3CB7-4B51-8C6B-5A0569F14B2F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April accrued per RSA schedule</t>
        </r>
      </text>
    </comment>
    <comment ref="F23" authorId="0" shapeId="0" xr:uid="{63644A4E-EE52-4482-924E-EDE960B9A291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No claims accepted as of Aug</t>
        </r>
      </text>
    </comment>
    <comment ref="H23" authorId="1" shapeId="0" xr:uid="{8A643F2E-DF4B-4A1F-892A-A807DF6C0812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Actual July CNIPS plus Aug - Sept Accruals based off CNIPS site</t>
        </r>
      </text>
    </comment>
    <comment ref="I23" authorId="1" shapeId="0" xr:uid="{B6B93A8A-0E06-4293-8EC8-06363EFECCFB}">
      <text>
        <r>
          <rPr>
            <b/>
            <sz val="9"/>
            <color indexed="81"/>
            <rFont val="Tahoma"/>
            <family val="2"/>
          </rPr>
          <t xml:space="preserve">Karen Bchakjian:
</t>
        </r>
        <r>
          <rPr>
            <sz val="9"/>
            <color indexed="81"/>
            <rFont val="Tahoma"/>
            <family val="2"/>
          </rPr>
          <t>Accrued Oct and Nov based off CNIPS site</t>
        </r>
      </text>
    </comment>
    <comment ref="J23" authorId="1" shapeId="0" xr:uid="{15BDB285-08FB-46D7-9940-693308E3AD0E}">
      <text>
        <r>
          <rPr>
            <b/>
            <sz val="9"/>
            <color indexed="81"/>
            <rFont val="Tahoma"/>
            <family val="2"/>
          </rPr>
          <t xml:space="preserve">Sam Burris:
</t>
        </r>
        <r>
          <rPr>
            <sz val="9"/>
            <color indexed="81"/>
            <rFont val="Tahoma"/>
            <family val="2"/>
          </rPr>
          <t>Additional non Seamless Summer claims from Aug-Sep</t>
        </r>
      </text>
    </comment>
    <comment ref="K23" authorId="1" shapeId="0" xr:uid="{862B543B-C7BA-4DEC-9C49-F7CB311AE91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Dec and January based off CNIPS claim summary </t>
        </r>
      </text>
    </comment>
    <comment ref="L23" authorId="2" shapeId="0" xr:uid="{DD2C8599-E81A-435B-A9A7-71FD468B01FB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Child Nutrition February accrued based off claim</t>
        </r>
      </text>
    </comment>
    <comment ref="M23" authorId="2" shapeId="0" xr:uid="{4A78863F-476B-45C1-BC9E-94E547FD936E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Child Nutrition March accrued based off claim</t>
        </r>
      </text>
    </comment>
    <comment ref="N23" authorId="2" shapeId="0" xr:uid="{AA1D2DFD-35C7-4A46-BD15-66C402A9C8DE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Child Nutrition April accrued based off claim</t>
        </r>
      </text>
    </comment>
    <comment ref="O23" authorId="2" shapeId="0" xr:uid="{C4A861B6-4799-4809-B48E-D51F4736975A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Child Nutrition April accrued based off claim</t>
        </r>
      </text>
    </comment>
    <comment ref="G24" authorId="1" shapeId="0" xr:uid="{7101EFBC-B469-461B-BE87-B6455FF8F1B2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based off CDE</t>
        </r>
      </text>
    </comment>
    <comment ref="J24" authorId="1" shapeId="0" xr:uid="{39B0C6AF-AF6C-4E8F-AA96-19CB68E7F894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based off CDE Schedule</t>
        </r>
      </text>
    </comment>
    <comment ref="G25" authorId="1" shapeId="0" xr:uid="{3ECBA1FF-756D-4881-8372-1BA8E3181751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Title II Schedule not up yet on CDE site</t>
        </r>
      </text>
    </comment>
    <comment ref="I25" authorId="1" shapeId="0" xr:uid="{7A20AFC2-AF06-4AC4-8037-2AF1F32CFF8F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FY2122 Title II 1st Appt.</t>
        </r>
      </text>
    </comment>
    <comment ref="J25" authorId="1" shapeId="0" xr:uid="{4ED7CA78-C261-4417-8B64-63A766AEFF0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Title II Schedule is not available yet on CDE</t>
        </r>
      </text>
    </comment>
    <comment ref="K25" authorId="1" shapeId="0" xr:uid="{41A9BB83-C651-4CE8-9450-84595B218B4D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Title II 2nd Apportionment based off CDE</t>
        </r>
      </text>
    </comment>
    <comment ref="G29" authorId="3" shapeId="0" xr:uid="{4BFDD6EF-B4D8-4B8D-BD0B-30496EEE78CA}">
      <text>
        <r>
          <rPr>
            <b/>
            <sz val="9"/>
            <color indexed="81"/>
            <rFont val="Tahoma"/>
            <family val="2"/>
          </rPr>
          <t>Sam Burris:</t>
        </r>
        <r>
          <rPr>
            <sz val="9"/>
            <color indexed="81"/>
            <rFont val="Tahoma"/>
            <family val="2"/>
          </rPr>
          <t xml:space="preserve">
ESSER II</t>
        </r>
      </text>
    </comment>
    <comment ref="H29" authorId="1" shapeId="0" xr:uid="{1A38622B-6343-4DB5-BFBA-B738E7FD4D5A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FY2021 ESSER &amp; FY2122 Title IV, Part A</t>
        </r>
      </text>
    </comment>
    <comment ref="I29" authorId="1" shapeId="0" xr:uid="{040E9BAA-8208-4482-A536-E751C72B20C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LACOE Covid Testing Reimbursement 08/21</t>
        </r>
      </text>
    </comment>
    <comment ref="K29" authorId="1" shapeId="0" xr:uid="{BA36FA36-D379-41CD-92A8-F54DBDA8BEAE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FY2122 Title IV, Part A - 2nd Appt., ESSER II Accrual based on Expenditure report, and FY2021 ESSER II recognition</t>
        </r>
      </text>
    </comment>
    <comment ref="N29" authorId="2" shapeId="0" xr:uid="{91ED074D-F1D1-4028-8E71-4836EF9AB6CB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ESSER II and III recognized based on reporting 04/22</t>
        </r>
      </text>
    </comment>
    <comment ref="O29" authorId="3" shapeId="0" xr:uid="{8CABFE4D-1756-4BD3-AAC7-E6107E9F69B7}">
      <text>
        <r>
          <rPr>
            <b/>
            <sz val="9"/>
            <color indexed="81"/>
            <rFont val="Tahoma"/>
            <family val="2"/>
          </rPr>
          <t>Sam Burris:</t>
        </r>
        <r>
          <rPr>
            <sz val="9"/>
            <color indexed="81"/>
            <rFont val="Tahoma"/>
            <family val="2"/>
          </rPr>
          <t xml:space="preserve">
Covid Testing Reimb</t>
        </r>
      </text>
    </comment>
    <comment ref="Q29" authorId="3" shapeId="0" xr:uid="{D4C782EC-F2C3-468C-AAAD-64FED2BB15E9}">
      <text>
        <r>
          <rPr>
            <b/>
            <sz val="9"/>
            <color indexed="81"/>
            <rFont val="Tahoma"/>
            <family val="2"/>
          </rPr>
          <t>Sam Burris:</t>
        </r>
        <r>
          <rPr>
            <sz val="9"/>
            <color indexed="81"/>
            <rFont val="Tahoma"/>
            <family val="2"/>
          </rPr>
          <t xml:space="preserve">
Adjusted for Sept</t>
        </r>
      </text>
    </comment>
    <comment ref="F30" authorId="0" shapeId="0" xr:uid="{2C10A194-AE0C-443A-AAB3-4FB8DF4DA989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FY1920 title II 8th Appt</t>
        </r>
      </text>
    </comment>
    <comment ref="K30" authorId="1" shapeId="0" xr:uid="{391C6D8E-E842-4FAD-9BB2-8E1DB13210CB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FY2021 Federal Child Nutrition ECR</t>
        </r>
      </text>
    </comment>
    <comment ref="N30" authorId="2" shapeId="0" xr:uid="{186B78D2-4821-4AF2-B872-63F6741D009D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PY Title I Recovery</t>
        </r>
      </text>
    </comment>
    <comment ref="H33" authorId="1" shapeId="0" xr:uid="{9AD6CB98-D550-4A08-B27B-8D181BDF8EA4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Accrused based off actual RSA report</t>
        </r>
      </text>
    </comment>
    <comment ref="I33" authorId="1" shapeId="0" xr:uid="{F2BE6138-D6C6-4D01-9C96-976D96762272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Accrused based off actual RSA report</t>
        </r>
      </text>
    </comment>
    <comment ref="M33" authorId="2" shapeId="0" xr:uid="{07A3D4B1-835C-4A3B-A16A-0365479E54C3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Accrued per RSA schedule</t>
        </r>
      </text>
    </comment>
    <comment ref="N33" authorId="2" shapeId="0" xr:uid="{A3C216F9-4ADE-4846-965E-70B3E67BFA14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April accrued per RSA schedule</t>
        </r>
      </text>
    </comment>
    <comment ref="F34" authorId="0" shapeId="0" xr:uid="{07BC924E-265C-464C-9C94-FEC96809B811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No claims accepted as of Aug</t>
        </r>
      </text>
    </comment>
    <comment ref="H34" authorId="1" shapeId="0" xr:uid="{466456F7-2DF9-47D2-8CD1-8E9618423366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Actual July CNIPS plus Aug - Sept Accruals based off CNIPS site</t>
        </r>
      </text>
    </comment>
    <comment ref="I34" authorId="1" shapeId="0" xr:uid="{3ACFB3E4-5FC1-4126-A061-B37B0DCAF12C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Oct and Nov based off CNIPS site</t>
        </r>
      </text>
    </comment>
    <comment ref="J34" authorId="1" shapeId="0" xr:uid="{1C692E23-2F6F-4190-9D3D-1D8CED4218AD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No new claims to accrue. November was accrued with last month's close</t>
        </r>
      </text>
    </comment>
    <comment ref="K34" authorId="1" shapeId="0" xr:uid="{1E1FC928-2BD6-465A-A6DB-DE433630962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Dec and January based off CNIPS claim summary </t>
        </r>
      </text>
    </comment>
    <comment ref="L34" authorId="2" shapeId="0" xr:uid="{35A90171-03F0-4E2F-9A2E-AA342B6D1532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Child Nutrition February accrued based off claim</t>
        </r>
      </text>
    </comment>
    <comment ref="M34" authorId="2" shapeId="0" xr:uid="{DA626ADA-0C8B-4220-B8AB-F9FE8B977B08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Child Nutrition March accrued based off claim</t>
        </r>
      </text>
    </comment>
    <comment ref="N34" authorId="2" shapeId="0" xr:uid="{88572750-22F1-430E-B722-9D356715FD94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Child Nutrition April accrued based off claim 
Includes Kitchen funds $36,018.00
</t>
        </r>
      </text>
    </comment>
    <comment ref="O34" authorId="2" shapeId="0" xr:uid="{5F014D8B-6DE3-4FA8-8024-7DC8C40E5F47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Child Nutrition April accrued based off claim</t>
        </r>
      </text>
    </comment>
    <comment ref="K35" authorId="1" shapeId="0" xr:uid="{AE795C84-A8DB-4F3C-8035-2D211D581B0D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SB740 1st Apportionment</t>
        </r>
      </text>
    </comment>
    <comment ref="O35" authorId="2" shapeId="0" xr:uid="{229F15A4-4718-406F-BD81-0411FB0667D6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2nd Apportionment accrued based off award notice</t>
        </r>
      </text>
    </comment>
    <comment ref="J36" authorId="1" shapeId="0" xr:uid="{B4AA0FB7-DC34-4025-8634-17B8AA8BDDC2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FY2122 Mandated Programs Block Grant</t>
        </r>
      </text>
    </comment>
    <comment ref="K37" authorId="1" shapeId="0" xr:uid="{5658792F-C0D8-4E45-BDC8-5E34F9F0E621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FY2122 Q1 Lotter Non-Prop</t>
        </r>
      </text>
    </comment>
    <comment ref="N37" authorId="2" shapeId="0" xr:uid="{7CC7AE4A-ECE4-47D3-9BAB-AB324E0D3C76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FY2122 Lottery Q2</t>
        </r>
      </text>
    </comment>
    <comment ref="G38" authorId="0" shapeId="0" xr:uid="{2118284C-BB27-49C5-84C5-B2944D8FAB6E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PY SB740 Adj</t>
        </r>
      </text>
    </comment>
    <comment ref="I38" authorId="1" shapeId="0" xr:uid="{1C23971F-9FBB-4BB1-83CB-68E410AADA05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FY19-20 SB740 3rd Appt</t>
        </r>
      </text>
    </comment>
    <comment ref="L38" authorId="2" shapeId="0" xr:uid="{136F8697-2B1D-4BFC-8E92-59582B446C65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PY Lottery Adj</t>
        </r>
      </text>
    </comment>
    <comment ref="I39" authorId="1" shapeId="0" xr:uid="{9C44B780-9F97-4A9F-80E5-1CA1605F6418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FY2122 Option 3 Transfer</t>
        </r>
      </text>
    </comment>
    <comment ref="J39" authorId="1" shapeId="0" xr:uid="{F4A0ED2E-1898-43C1-8D53-5412BD1018C5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FY2122 Option 3 Transfer 12/21</t>
        </r>
      </text>
    </comment>
    <comment ref="K39" authorId="1" shapeId="0" xr:uid="{7C76B654-2471-47C6-A627-0CBBECFC6285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FY2122 Educator Effectiveness - 1st Apportionment</t>
        </r>
      </text>
    </comment>
    <comment ref="O39" authorId="2" shapeId="0" xr:uid="{0D6D89DA-ABCA-4E80-93CE-37003DA7723F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Option 3 transfer</t>
        </r>
      </text>
    </comment>
    <comment ref="Q39" authorId="4" shapeId="0" xr:uid="{C19C0408-4862-4A1D-8B0E-D245528CD0AF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EE grant - $50,732</t>
        </r>
      </text>
    </comment>
    <comment ref="E44" authorId="1" shapeId="0" xr:uid="{1A0A9322-12FD-4009-B82F-D0765F6CC7A4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Dividend</t>
        </r>
      </text>
    </comment>
    <comment ref="F44" authorId="0" shapeId="0" xr:uid="{1262CF0D-BE30-4330-AD7E-7F347B358BD9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Dividend</t>
        </r>
      </text>
    </comment>
    <comment ref="H44" authorId="1" shapeId="0" xr:uid="{36D23580-751A-4DA4-9146-54A72EF9BFB6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Dividend
</t>
        </r>
      </text>
    </comment>
    <comment ref="I44" authorId="1" shapeId="0" xr:uid="{43B60857-5A3C-4058-B4BD-70B43C2895B2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Dividend</t>
        </r>
      </text>
    </comment>
    <comment ref="J44" authorId="1" shapeId="0" xr:uid="{BA1E93DB-48FE-4D25-B3D7-76477EC7E23F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Dividend</t>
        </r>
      </text>
    </comment>
    <comment ref="K44" authorId="1" shapeId="0" xr:uid="{626B070E-1DFE-4B38-A535-DB8204BC8E2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Dividend</t>
        </r>
      </text>
    </comment>
    <comment ref="M45" authorId="2" shapeId="0" xr:uid="{4396934A-C1F2-4A30-8874-EF67D1FB0680}">
      <text>
        <r>
          <rPr>
            <b/>
            <sz val="9"/>
            <color indexed="81"/>
            <rFont val="Tahoma"/>
            <family val="2"/>
          </rPr>
          <t>Sam Burris:</t>
        </r>
        <r>
          <rPr>
            <sz val="9"/>
            <color indexed="81"/>
            <rFont val="Tahoma"/>
            <family val="2"/>
          </rPr>
          <t xml:space="preserve">
York Services - Insurance Proceeds</t>
        </r>
      </text>
    </comment>
    <comment ref="F47" authorId="0" shapeId="0" xr:uid="{0FD28976-21BB-4AF0-BBD1-FF4ADA94B8D7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-Kroger Ralphs Rewards  -Safety National Grant</t>
        </r>
      </text>
    </comment>
    <comment ref="H47" authorId="1" shapeId="0" xr:uid="{9BCF9150-7BE7-40B6-92E3-6F098F4EA542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Uniforms &amp; Kroger Ralphs Rewards</t>
        </r>
      </text>
    </comment>
    <comment ref="J47" authorId="1" shapeId="0" xr:uid="{94CDEB37-1967-4C91-9ECB-F154DC75CF03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$3,381 cash donation for uniforms, EC Cleaning Services $2k gift cards for employees</t>
        </r>
      </text>
    </comment>
    <comment ref="K47" authorId="1" shapeId="0" xr:uid="{583ABCEC-F19A-4DA0-BB05-8B2E74D4DC5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Box Tops for Education</t>
        </r>
      </text>
    </comment>
    <comment ref="L47" authorId="2" shapeId="0" xr:uid="{00687F27-8A2A-414F-8A94-C72D08F66CE4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Kroger</t>
        </r>
      </text>
    </comment>
    <comment ref="O47" authorId="2" shapeId="0" xr:uid="{9379016D-003F-45A5-B8CF-3508EF22AAFC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Uniform Donations $1.4k
Cash Donations $1.1k</t>
        </r>
      </text>
    </comment>
    <comment ref="F56" authorId="0" shapeId="0" xr:uid="{331957CB-4727-4D7E-B7DE-09A02D43095C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New hire - Jacqueline A. Barr, Roshena K. Dhugga, Rupinder K. Sahota</t>
        </r>
      </text>
    </comment>
    <comment ref="G56" authorId="0" shapeId="0" xr:uid="{F57FE648-95AD-46BD-A0CF-5FCD7E045946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new hire &amp; Final Check - Richard M. Garrestson</t>
        </r>
      </text>
    </comment>
    <comment ref="L56" authorId="2" shapeId="0" xr:uid="{0D90E579-7643-48AD-82F2-9BE063054571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Perla Manzo on Maternity Leave</t>
        </r>
      </text>
    </comment>
    <comment ref="M56" authorId="5" shapeId="0" xr:uid="{AEC505C9-D773-4C7B-8D2B-FE033C9419A5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Continuation of Perla Manzo on Maternity Leave</t>
        </r>
      </text>
    </comment>
    <comment ref="O56" authorId="2" shapeId="0" xr:uid="{FD2D69F7-61D6-4B46-9420-4E044B77B15B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Michelle Menjivar on maternity leave</t>
        </r>
      </text>
    </comment>
    <comment ref="E57" authorId="1" shapeId="0" xr:uid="{CF43C4A6-67C0-49F7-94F3-D6A533391E48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Charlene Win hired as teacher's aid but worked as a sub
</t>
        </r>
      </text>
    </comment>
    <comment ref="K57" authorId="1" shapeId="0" xr:uid="{A4FA59C6-0282-47FF-9B04-7FD4428D2AF3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Kellie-Bea Cooper, Teri Brown-Jackson, and Dana Crawford-King</t>
        </r>
      </text>
    </comment>
    <comment ref="L57" authorId="2" shapeId="0" xr:uid="{A896D6A7-E680-4B68-8DC1-CE1FA2F3C3EE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Teri Brown and Dana Crawford</t>
        </r>
      </text>
    </comment>
    <comment ref="M57" authorId="1" shapeId="0" xr:uid="{09351A4E-0256-41F5-A202-ED1184EA0BDC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Kellie-Bea Cooper, Teri Brown-Jackson, and Dana Crawford-King</t>
        </r>
      </text>
    </comment>
    <comment ref="N57" authorId="1" shapeId="0" xr:uid="{B552AF19-EB76-40AA-8EFF-2E4210CBEFE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Kellie-Bea Cooper, Teri Brown-Jackson, and Dana Crawford-King</t>
        </r>
      </text>
    </comment>
    <comment ref="O57" authorId="1" shapeId="0" xr:uid="{8C982673-B848-42E8-9723-22E7F487505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Kellie-Bea Cooper, Teri Brown-Jackson, and Dana Crawford-King</t>
        </r>
      </text>
    </comment>
    <comment ref="I58" authorId="1" shapeId="0" xr:uid="{A30B9169-1352-4A23-A8C9-014EA0FA7CE4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Richard Thomas and larger payout for employees</t>
        </r>
      </text>
    </comment>
    <comment ref="M58" authorId="2" shapeId="0" xr:uid="{84E723BB-C053-4C1A-A9F6-E343182DD84F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Internet Reimbs &amp; stipends for Saturday school</t>
        </r>
      </text>
    </comment>
    <comment ref="O58" authorId="2" shapeId="0" xr:uid="{B36D67FD-4F4A-4CC1-89F9-8C09EAD3DEED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Internet Reimbs &amp; stipends for Saturday school</t>
        </r>
      </text>
    </comment>
    <comment ref="F60" authorId="5" shapeId="0" xr:uid="{3DF52E4B-5549-4739-BB59-0E53FED8907E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Michael C. Curry New Hire</t>
        </r>
      </text>
    </comment>
    <comment ref="M60" authorId="5" shapeId="0" xr:uid="{8FB53708-75C8-47F0-8408-13A2717D012E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Masters Stupend for Richard Thomas</t>
        </r>
      </text>
    </comment>
    <comment ref="E64" authorId="1" shapeId="0" xr:uid="{B438D0DD-BF93-4CFD-9511-17671E50E905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TA raises begin July 1</t>
        </r>
      </text>
    </comment>
    <comment ref="F64" authorId="5" shapeId="0" xr:uid="{A984DFBE-83FC-476D-95CA-A69131E3AB95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Gabriela Velasquez resigned 08/04/21
New hire: R. Abgaryan, S. Salomon, V. Valera Katona
</t>
        </r>
      </text>
    </comment>
    <comment ref="G64" authorId="0" shapeId="0" xr:uid="{8C1EE20A-9B69-4622-838D-20814907218A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increased due to hrs</t>
        </r>
      </text>
    </comment>
    <comment ref="K64" authorId="1" shapeId="0" xr:uid="{3203539E-F4C1-4B25-9D6E-DB8400092901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No pay-out to Syuzanna Galstyan or Salvador Salomon. Smaller pay-out to Valeria Katona</t>
        </r>
      </text>
    </comment>
    <comment ref="L64" authorId="5" shapeId="0" xr:uid="{11C20840-0047-4E67-863E-27638CF3033D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Increased Hours</t>
        </r>
      </text>
    </comment>
    <comment ref="M64" authorId="5" shapeId="0" xr:uid="{3AD7D33D-0B48-41F4-ABF9-C146F77CBED8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New hire: Naeem C. Rashid</t>
        </r>
      </text>
    </comment>
    <comment ref="N64" authorId="5" shapeId="0" xr:uid="{037F7006-802C-4204-83D1-0ED7E176D854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no hours for R. Abgaryan &amp; v. Katona for 04/30</t>
        </r>
      </text>
    </comment>
    <comment ref="O64" authorId="2" shapeId="0" xr:uid="{E410880C-4907-4B9E-B068-F43C1B2987A3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Salvador Salomon Final Check</t>
        </r>
      </text>
    </comment>
    <comment ref="K66" authorId="1" shapeId="0" xr:uid="{50DC1175-1073-4C3B-897F-81F51783A05E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Wage increase or Bakhtavar Italia</t>
        </r>
      </text>
    </comment>
    <comment ref="E67" authorId="1" shapeId="0" xr:uid="{955AFD8F-6DF0-4F37-8D7F-75811A2FCCFC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Xiomara Medrano with new rate</t>
        </r>
      </text>
    </comment>
    <comment ref="F67" authorId="5" shapeId="0" xr:uid="{8578E2FD-0989-445A-8B08-59FBE2CA0E65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Full Rate</t>
        </r>
      </text>
    </comment>
    <comment ref="J67" authorId="2" shapeId="0" xr:uid="{F9F0BA71-A2FC-4C92-A789-7E6D098002A7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Dori Sorai New Hire</t>
        </r>
      </text>
    </comment>
    <comment ref="K67" authorId="1" shapeId="0" xr:uid="{2AAB9156-6771-4439-9179-09BA51E98C57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Increased hours for Dori Soria</t>
        </r>
      </text>
    </comment>
    <comment ref="L67" authorId="2" shapeId="0" xr:uid="{227C066A-759C-43BC-92B1-D076299DFC7A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Increased hours</t>
        </r>
      </text>
    </comment>
    <comment ref="M67" authorId="5" shapeId="0" xr:uid="{FC6746F3-4B51-4905-BD77-D0EBEBEE39FE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Dori Soria No Longer Employed, Last month was her last pay</t>
        </r>
      </text>
    </comment>
    <comment ref="N67" authorId="2" shapeId="0" xr:uid="{3517638A-E048-4E1C-AE0A-B38B8D6D4F6A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Brittany Cooper and Xiomara Medrano increased hours</t>
        </r>
      </text>
    </comment>
    <comment ref="O67" authorId="2" shapeId="0" xr:uid="{0F7EF183-7417-431D-942D-38B791742B5E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Salvador Salomon Final Check</t>
        </r>
      </text>
    </comment>
    <comment ref="I71" authorId="1" shapeId="0" xr:uid="{469650A2-00C1-4A09-A0C6-7315D097BC42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FY2021 Refund of STRS Excess Contribution</t>
        </r>
      </text>
    </comment>
    <comment ref="H73" authorId="1" shapeId="0" xr:uid="{AC47FD14-19D5-41F4-957D-F9EB5AA7F4E6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Soila Robles</t>
        </r>
      </text>
    </comment>
    <comment ref="F75" authorId="5" shapeId="0" xr:uid="{9122D385-2D3B-4AA9-B5F6-6E38CB14B19A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Health deductions 07/21 ($4k), ($1K) Health Net adjustment</t>
        </r>
      </text>
    </comment>
    <comment ref="G75" authorId="0" shapeId="0" xr:uid="{3528E652-0331-4C5B-91CE-1ADC317CD6F5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New ins - Humana Insurance $1.3K
Health Net increased $1K
Aflace increased $747</t>
        </r>
      </text>
    </comment>
    <comment ref="I75" authorId="1" shapeId="0" xr:uid="{641D9C1D-355A-4D56-9CAA-EDC8F2DFE4E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Increase in Health Net</t>
        </r>
      </text>
    </comment>
    <comment ref="F76" authorId="5" shapeId="0" xr:uid="{4875E715-01FB-4848-84B9-90283A65F19D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Increased due to more employees</t>
        </r>
      </text>
    </comment>
    <comment ref="K76" authorId="1" shapeId="0" xr:uid="{97E8E06A-BA30-4EF5-A876-EE5D99127D87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Increased due to more employees</t>
        </r>
      </text>
    </comment>
    <comment ref="E77" authorId="1" shapeId="0" xr:uid="{E6579E15-C988-4870-B194-1754ACA0BC7B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Charter Safe 25% Deposit</t>
        </r>
      </text>
    </comment>
    <comment ref="G77" authorId="0" shapeId="0" xr:uid="{5850C87F-40A3-4E81-987F-F1B011FCDAE1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FY2021 WC Audit Refund $10K</t>
        </r>
      </text>
    </comment>
    <comment ref="E81" authorId="1" shapeId="0" xr:uid="{9423CD9C-900F-41C5-96AE-957DB9F4CAAA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McGraw Hill and Savvas
</t>
        </r>
      </text>
    </comment>
    <comment ref="F81" authorId="0" shapeId="0" xr:uid="{4DDE2FEE-1703-41A0-A582-EA3E09598062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McGraw Hill &amp; Savvas $2K 1Yr </t>
        </r>
      </text>
    </comment>
    <comment ref="G81" authorId="5" shapeId="0" xr:uid="{839E0228-F14E-48BE-A1EA-8E793B53C018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Savvas, Mcraw, Discovery Ed</t>
        </r>
      </text>
    </comment>
    <comment ref="H81" authorId="1" shapeId="0" xr:uid="{DACA10FD-C493-4B66-997F-AE4E58B667B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McGraw Hill, Discovery Ed, Savvas</t>
        </r>
      </text>
    </comment>
    <comment ref="K81" authorId="1" shapeId="0" xr:uid="{9DF028A3-4B99-4A72-AB87-2414DA7B330A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Savvas Learning - $1900
Discovery Education - $1326
</t>
        </r>
      </text>
    </comment>
    <comment ref="G83" authorId="5" shapeId="0" xr:uid="{AA1AE51D-FF9A-4251-AC5C-4C51FFD0BF5D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Amazon School Supplies</t>
        </r>
      </text>
    </comment>
    <comment ref="H83" authorId="1" shapeId="0" xr:uid="{18A826E8-33C9-4AB6-AAD0-E1F163131E58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Multiple teacher reimbursements</t>
        </r>
      </text>
    </comment>
    <comment ref="J83" authorId="2" shapeId="0" xr:uid="{C723350F-992F-4A75-8B5B-C9648D030F3F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Allen Silk Screening - Apparel (227) $10.3k</t>
        </r>
      </text>
    </comment>
    <comment ref="L83" authorId="2" shapeId="0" xr:uid="{8346C45C-EE60-4485-A541-EF6D86F3AC0A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Allen Silk - Apparel $2.8k</t>
        </r>
      </text>
    </comment>
    <comment ref="M83" authorId="2" shapeId="0" xr:uid="{D8B59049-0DFD-41A6-91E5-C2CDCB7DBFF2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Allen Silk Apparel (62) - $2k
</t>
        </r>
      </text>
    </comment>
    <comment ref="H84" authorId="1" shapeId="0" xr:uid="{2EE949BA-E2F3-4E77-BCD5-3FD4E9DE2FCC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Aeries Software expensed from July to October</t>
        </r>
      </text>
    </comment>
    <comment ref="M84" authorId="2" shapeId="0" xr:uid="{0C6B5358-652D-44B5-886B-52C16F218061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Includes Credit Card Expenses 01/22-03/22</t>
        </r>
      </text>
    </comment>
    <comment ref="N84" authorId="2" shapeId="0" xr:uid="{4BBEFADB-CD46-4B1B-B656-9921E6E0CED3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Istation - Reading Software $2.5k</t>
        </r>
      </text>
    </comment>
    <comment ref="F85" authorId="0" shapeId="0" xr:uid="{4790987E-F428-4DE9-9C32-9A0B9506F728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EC Cleaning Services -Janitorial Supplies - 08/21</t>
        </r>
      </text>
    </comment>
    <comment ref="G85" authorId="0" shapeId="0" xr:uid="{5F3855F6-3B9B-4D82-A48D-008C1B798881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including credit card charges July-Aug</t>
        </r>
      </text>
    </comment>
    <comment ref="I85" authorId="1" shapeId="0" xr:uid="{BB8F3745-1F55-4906-A29E-3F7BB7225E72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Pacific Rejuvenation Medical APC - $20K Covid Test</t>
        </r>
      </text>
    </comment>
    <comment ref="K85" authorId="1" shapeId="0" xr:uid="{09CA6D5F-D3F8-4417-BECB-7FE328D3C0DE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CC statements received for Oct - Dec containing office expenses</t>
        </r>
      </text>
    </comment>
    <comment ref="L85" authorId="2" shapeId="0" xr:uid="{4928E9FE-2DA9-455D-B63E-8AC13B2DC451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Home Depot, Harbor Freight - Repair Supplies $1.1k</t>
        </r>
      </text>
    </comment>
    <comment ref="M85" authorId="2" shapeId="0" xr:uid="{5B755257-D5B0-400B-8499-9F8FEBDB077B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Includes Credit Card Expenses 01/22-03/22 - some large items are disclaimer items </t>
        </r>
        <r>
          <rPr>
            <b/>
            <sz val="9"/>
            <color indexed="81"/>
            <rFont val="Tahoma"/>
            <family val="2"/>
          </rPr>
          <t>- SB</t>
        </r>
      </text>
    </comment>
    <comment ref="O85" authorId="2" shapeId="0" xr:uid="{EA0EE222-C0B8-4AC6-8997-393BDF82A6D9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Richard Thomas Reimb $1k</t>
        </r>
      </text>
    </comment>
    <comment ref="G86" authorId="0" shapeId="0" xr:uid="{75BB8623-BFFD-497A-881F-457F472D172A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including credit card charges July-Aug</t>
        </r>
      </text>
    </comment>
    <comment ref="K86" authorId="1" shapeId="0" xr:uid="{9F87C14F-5F27-4D34-9E22-C543427E3C41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CC statements received for Oct - Dec containing business meals</t>
        </r>
      </text>
    </comment>
    <comment ref="G88" authorId="0" shapeId="0" xr:uid="{4627401E-3A01-4012-B2A0-E3A44B3A2D00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including credit card charges July-Aug</t>
        </r>
      </text>
    </comment>
    <comment ref="K88" authorId="1" shapeId="0" xr:uid="{785B4FA4-034A-4838-BF17-59061B26F19D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CC Transactions - Home Depot, Amazon, Smart Board, Blueair, Ferguson</t>
        </r>
      </text>
    </comment>
    <comment ref="L88" authorId="2" shapeId="0" xr:uid="{7908FA1D-5CEB-49FB-85A4-8B888F5A0396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Allen Silk - Banners $810.30
Basketball Hoop - $470.85</t>
        </r>
      </text>
    </comment>
    <comment ref="M88" authorId="2" shapeId="0" xr:uid="{838E9521-EC68-4D5A-8CFC-205F560666D8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Basketball Hoop, Yeti Cooler, Power Station, Shelving Unit</t>
        </r>
      </text>
    </comment>
    <comment ref="N88" authorId="2" shapeId="0" xr:uid="{2FFC3E50-7C66-4478-931E-0730B978C0C7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Ball Cart (1) Awning Covers (3)</t>
        </r>
      </text>
    </comment>
    <comment ref="F89" authorId="0" shapeId="0" xr:uid="{B60EA677-3D93-439A-810C-E2E2D0A151F1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FRESH START MEALS, INC - Meals 07/21</t>
        </r>
      </text>
    </comment>
    <comment ref="G89" authorId="0" shapeId="0" xr:uid="{B35F32C7-211B-498D-8773-E5A3ADB0DB82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FRESH START MEALS 08/21</t>
        </r>
      </text>
    </comment>
    <comment ref="H89" authorId="1" shapeId="0" xr:uid="{9816FA43-8D42-4799-8B73-B8C60FC664D2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Fresh Start Meals 09/21
</t>
        </r>
      </text>
    </comment>
    <comment ref="I89" authorId="1" shapeId="0" xr:uid="{695077A7-3685-498B-A548-E081898AAB3E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Fresh Start Meals 10/21</t>
        </r>
      </text>
    </comment>
    <comment ref="J89" authorId="2" shapeId="0" xr:uid="{B6A0C09A-5FC4-4FA4-804F-3BC7594E5ACD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Fresh Start Meals - 11/21</t>
        </r>
      </text>
    </comment>
    <comment ref="K89" authorId="1" shapeId="0" xr:uid="{550EBA0D-A0E7-421E-9372-E523F5DCB07A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Fresh Start Meals 12/21</t>
        </r>
      </text>
    </comment>
    <comment ref="L89" authorId="2" shapeId="0" xr:uid="{F7A47F8A-C836-4BCA-8CA4-CC83E6188956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Meals 01/22</t>
        </r>
      </text>
    </comment>
    <comment ref="M89" authorId="2" shapeId="0" xr:uid="{2F062F95-5749-4F29-AE63-7F2CE4A9E478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Meals 02/22</t>
        </r>
      </text>
    </comment>
    <comment ref="N89" authorId="2" shapeId="0" xr:uid="{4CDF0D49-7475-4268-8C8A-9AD893EFF380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Meals 03/22</t>
        </r>
      </text>
    </comment>
    <comment ref="O89" authorId="2" shapeId="0" xr:uid="{A49E04BB-EAE3-481B-90A1-60EA99710B56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Meals 04/22</t>
        </r>
      </text>
    </comment>
    <comment ref="G93" authorId="5" shapeId="0" xr:uid="{2E8E75D0-ED45-4475-9D0D-FB8211367949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Cross Country Ed - 08/21</t>
        </r>
      </text>
    </comment>
    <comment ref="H93" authorId="1" shapeId="0" xr:uid="{9F63E9FD-2A16-4D7B-ABB7-B027295E77FC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Cross Country Education 09/21
</t>
        </r>
      </text>
    </comment>
    <comment ref="I93" authorId="1" shapeId="0" xr:uid="{2052B5A1-EC65-40F2-8468-5AD3A1A5DBC7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Cross Country Education 10/21</t>
        </r>
      </text>
    </comment>
    <comment ref="J93" authorId="2" shapeId="0" xr:uid="{94BC12F9-77F0-452C-8C4C-481EAEA89E40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Cross Country - Sped Svcs 11/21 &amp; 12/21 $7.2k
</t>
        </r>
      </text>
    </comment>
    <comment ref="K93" authorId="1" shapeId="0" xr:uid="{9E74F042-00FC-4AB8-AFDF-55CE2C5FA8D8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Total Education Solutions 11/21 &amp; 12/21; Cross Country Education 08/21 - 01/22</t>
        </r>
      </text>
    </comment>
    <comment ref="L93" authorId="2" shapeId="0" xr:uid="{DF8D75A3-F3DB-47BB-BA33-5D8C5389CAE8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Cross Country 01/22</t>
        </r>
      </text>
    </comment>
    <comment ref="M93" authorId="2" shapeId="0" xr:uid="{E87FEEEC-DE34-43B4-977E-CFAB20019A01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SpEd Svcs 01/22 - 03/22</t>
        </r>
      </text>
    </comment>
    <comment ref="N93" authorId="2" shapeId="0" xr:uid="{7725A71E-C3BF-4974-A9EC-58A6BB14E2AF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SpEd Svcs 03/22-04/22</t>
        </r>
      </text>
    </comment>
    <comment ref="O93" authorId="2" shapeId="0" xr:uid="{626ED436-C880-49AE-8630-9E073C643EED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SpEd Svcs 04/22-05/22</t>
        </r>
      </text>
    </comment>
    <comment ref="F94" authorId="0" shapeId="0" xr:uid="{0FFB52D3-DE9B-428C-B4C0-881D57CAA3BE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Sub Svcs - Aug21</t>
        </r>
      </text>
    </comment>
    <comment ref="G94" authorId="0" shapeId="0" xr:uid="{B3C81D83-AB84-4D59-AFFC-18B5BACDF6A3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Sub Svcs 08/21 &amp; 09/21</t>
        </r>
      </text>
    </comment>
    <comment ref="I94" authorId="1" shapeId="0" xr:uid="{DE8F6876-CDDB-413C-8B7A-4DC99165C66D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Teachers on Reserve and Scoot Education</t>
        </r>
      </text>
    </comment>
    <comment ref="J94" authorId="2" shapeId="0" xr:uid="{0EAB36B8-1538-4006-BF50-85E84876A78A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Teachers on Reserve - Svcs 11/8/21-12/10/21 $8.9k</t>
        </r>
      </text>
    </comment>
    <comment ref="M94" authorId="2" shapeId="0" xr:uid="{EB9B210C-02B3-437B-9C2B-8B0309A0EC32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Teachers on Reserve - 02/22-03/22</t>
        </r>
      </text>
    </comment>
    <comment ref="N94" authorId="2" shapeId="0" xr:uid="{A53B0322-6FDB-4399-8D04-51C35A379A4E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Teachers on Reserve 03/22-04/22</t>
        </r>
      </text>
    </comment>
    <comment ref="H96" authorId="1" shapeId="0" xr:uid="{01B55708-4419-4E58-B620-EEEDAAE1AC8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Traosom Fire and Security &amp; Advance Building Protection</t>
        </r>
      </text>
    </comment>
    <comment ref="G97" authorId="0" shapeId="0" xr:uid="{9ACE40BE-3E0B-43FC-ABE6-9FE37F562547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THINK Together - ASES installments 1 &amp; 2</t>
        </r>
      </text>
    </comment>
    <comment ref="H97" authorId="1" shapeId="0" xr:uid="{5C86C826-B732-4FEF-9E84-6E2218C02E7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THINK Together ASES Installment 4</t>
        </r>
      </text>
    </comment>
    <comment ref="J97" authorId="1" shapeId="0" xr:uid="{4E3B6236-B046-414E-B218-8D0B147B2274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THINK Together - ASES Program Management Installments 5 &amp; 6</t>
        </r>
      </text>
    </comment>
    <comment ref="K97" authorId="1" shapeId="0" xr:uid="{5D7CFD11-D57C-4FBA-8E9A-0997654DD622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THINK Together ASES Program Management Installment 7 - $19,330.87</t>
        </r>
      </text>
    </comment>
    <comment ref="M97" authorId="2" shapeId="0" xr:uid="{BBFEB9FD-82D1-4AC9-8751-76E640C543A9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THINK Together - ASES Program Installment 3 &amp; 8</t>
        </r>
      </text>
    </comment>
    <comment ref="N97" authorId="2" shapeId="0" xr:uid="{56841076-745F-4DAC-AC12-C7FEF83A803A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THINK Together - ASES Program Installment 9</t>
        </r>
      </text>
    </comment>
    <comment ref="O97" authorId="2" shapeId="0" xr:uid="{98C70D3A-A826-4C1D-B379-97183B4F9208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THINK Together - ASES Program Installment 10</t>
        </r>
      </text>
    </comment>
    <comment ref="I101" authorId="1" shapeId="0" xr:uid="{697F152E-CA62-476E-9215-CD2A612A45A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CCSA</t>
        </r>
      </text>
    </comment>
    <comment ref="E104" authorId="1" shapeId="0" xr:uid="{6F28BAB6-E7A2-4773-84A6-1AA19B6E544A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Waxed floors in addition to usual monthly cleaning services</t>
        </r>
      </text>
    </comment>
    <comment ref="I104" authorId="1" shapeId="0" xr:uid="{89A0606E-69FC-4F41-9588-8630C719E20B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EC Cleaning Servies and WM Corporate</t>
        </r>
      </text>
    </comment>
    <comment ref="K104" authorId="1" shapeId="0" xr:uid="{D0E02B36-0BE9-4FCD-94CB-124A44DFCBF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Have not received invoice for January EC Cleaning yet</t>
        </r>
      </text>
    </comment>
    <comment ref="L104" authorId="2" shapeId="0" xr:uid="{2F93FF8E-F619-44BA-9CDD-2752C92BB7BE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EC Cleaning - 01/22-02/22</t>
        </r>
      </text>
    </comment>
    <comment ref="I107" authorId="1" shapeId="0" xr:uid="{A41FEF82-A8CC-4784-8F4B-75BABAFF98F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AT&amp;T, Time Waner, Spectrum, T-Moible, Gigakom, and Richard Thomas Reimb.</t>
        </r>
      </text>
    </comment>
    <comment ref="K107" authorId="1" shapeId="0" xr:uid="{31CDB5B8-AB50-4BED-8A96-9FD0E31094A6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Time Warner Cable Credit Adjustment - $10,350
AT&amp;T Credit Adjustment - $3600</t>
        </r>
      </text>
    </comment>
    <comment ref="L107" authorId="2" shapeId="0" xr:uid="{F6B6F43E-4C13-4FB6-95E3-EA832E92F859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Including Specctrum Credit - $1,440.00
</t>
        </r>
      </text>
    </comment>
    <comment ref="N107" authorId="2" shapeId="0" xr:uid="{FCBE8B33-8611-4996-8CB5-B65FFC2259EA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Includes AT&amp;T, Time Warner, Tmobile, Spectrum, GigaKom, Zoom</t>
        </r>
      </text>
    </comment>
    <comment ref="O107" authorId="2" shapeId="0" xr:uid="{1D6E2EA8-DCEA-4E6B-97DB-6A8F605799BB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Includes T-Mobile and Time Warner Cable Credits $3.7k</t>
        </r>
      </text>
    </comment>
    <comment ref="K108" authorId="1" shapeId="0" xr:uid="{A9F49900-B0BE-40B5-A392-5E0A4EF283D4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CI Fedex reimb, CC 11/21 Fedex, Amazon Stamps, and UPS shipping
CC 12/21 Amazon Postage</t>
        </r>
      </text>
    </comment>
    <comment ref="E111" authorId="3" shapeId="0" xr:uid="{787DC8E6-E7FB-4CD7-88FA-3B4C8D0C9854}">
      <text>
        <r>
          <rPr>
            <b/>
            <sz val="9"/>
            <color indexed="81"/>
            <rFont val="Tahoma"/>
            <family val="2"/>
          </rPr>
          <t>Sam Burris:</t>
        </r>
        <r>
          <rPr>
            <sz val="9"/>
            <color indexed="81"/>
            <rFont val="Tahoma"/>
            <family val="2"/>
          </rPr>
          <t xml:space="preserve">
No Prop 39 rent - notified director</t>
        </r>
      </text>
    </comment>
    <comment ref="F111" authorId="0" shapeId="0" xr:uid="{BE2F3BB5-3F1A-4B7A-BB1A-E5BB36EBC5CA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Accrued Prop39 Rent for July &amp; Aug $15K</t>
        </r>
      </text>
    </comment>
    <comment ref="M111" authorId="2" shapeId="0" xr:uid="{144304E2-48DA-4D61-9D93-0F6FEF1543FD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Prop 39 portion updated based on most recent letter</t>
        </r>
      </text>
    </comment>
    <comment ref="O111" authorId="3" shapeId="0" xr:uid="{49305B29-AAA8-485F-A574-3FEDAD9126DA}">
      <text>
        <r>
          <rPr>
            <b/>
            <sz val="9"/>
            <color indexed="81"/>
            <rFont val="Tahoma"/>
            <family val="2"/>
          </rPr>
          <t>Sam Burris:</t>
        </r>
        <r>
          <rPr>
            <sz val="9"/>
            <color indexed="81"/>
            <rFont val="Tahoma"/>
            <family val="2"/>
          </rPr>
          <t xml:space="preserve">
Prop 39 PY adjustment/settlement</t>
        </r>
      </text>
    </comment>
    <comment ref="I113" authorId="1" shapeId="0" xr:uid="{4AA6F460-E52B-41B7-BB56-65C523440D08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Canon Financial Svcs Copier Lease 11/21 and Canon Solutions America Copier Maintenance 10/21-12/21</t>
        </r>
      </text>
    </comment>
    <comment ref="M113" authorId="2" shapeId="0" xr:uid="{96F2D674-8826-4789-8427-09AD335E6C75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Canon Copier Lease 01/22-03/22</t>
        </r>
      </text>
    </comment>
    <comment ref="G114" authorId="0" shapeId="0" xr:uid="{14C6285C-FC11-4A44-AC8B-0979B1F85016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-parking/provigil/water and sewer chgs 09/21
-Public Storage 07/21 &amp; 08/21</t>
        </r>
      </text>
    </comment>
    <comment ref="K114" authorId="1" shapeId="0" xr:uid="{84774078-0175-4361-8E32-387C0B3F8A56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Public Storage CC charges totaling $1975.79</t>
        </r>
      </text>
    </comment>
    <comment ref="M114" authorId="2" shapeId="0" xr:uid="{19F704A7-B815-4076-9E2A-6C5A70C7AE50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Include Public Storage CC transactions 01/22-03/22</t>
        </r>
      </text>
    </comment>
    <comment ref="F116" authorId="5" shapeId="0" xr:uid="{31EBD08B-E856-4DC7-8040-2801C3E63BA4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Pest Control Svcs &amp; Elevator Maintenance</t>
        </r>
      </text>
    </comment>
    <comment ref="I116" authorId="1" shapeId="0" xr:uid="{F0F621F7-05FA-4734-8E49-A6A7A21FB8B3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Orkin Pest Control Services, Dharma Holdings Maintenance, Perfect Solution Installations, Richard Thomas PC plumbing and hot water installation</t>
        </r>
      </text>
    </comment>
    <comment ref="L116" authorId="2" shapeId="0" xr:uid="{63918AE3-659F-4D76-8E92-73EC36928F87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Puro Rabjohn - 01/19/22 Svcs</t>
        </r>
      </text>
    </comment>
    <comment ref="N116" authorId="2" shapeId="0" xr:uid="{5340F254-5E58-4F6E-B285-924348123D66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Target Elevator Maintenance Svcs 01/22-03/22 $660</t>
        </r>
      </text>
    </comment>
    <comment ref="O116" authorId="2" shapeId="0" xr:uid="{AAD9769D-3854-4D44-8AB7-F1035312E595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Kevin Cortrite - Gate Maintenance Svcs $775.00</t>
        </r>
      </text>
    </comment>
    <comment ref="G119" authorId="0" shapeId="0" xr:uid="{11C1F3CD-C2AE-4F7A-8C02-4EBE7BA87C4B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Zing Apps, Canoteck, DELTECHIS </t>
        </r>
      </text>
    </comment>
    <comment ref="I119" authorId="1" shapeId="0" xr:uid="{68360CB5-0D62-443C-AD24-496B1B067F5B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Zing Apps and Deltechis IT Svcs Oct and Nov</t>
        </r>
      </text>
    </comment>
    <comment ref="O119" authorId="2" shapeId="0" xr:uid="{A23E2952-719A-42B1-B447-60680930D3EB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Deltechis IT Svcs 04/22-05/22</t>
        </r>
      </text>
    </comment>
    <comment ref="I120" authorId="1" shapeId="0" xr:uid="{B18B30DB-460C-4026-9CBE-EFE7191EAF4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Eide Bailly Audit Svcs FYE 06/30/21</t>
        </r>
      </text>
    </comment>
    <comment ref="O120" authorId="1" shapeId="0" xr:uid="{F7191F0E-DEA9-43AF-A313-86177BDC06DE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Eide Bailly Audit Svcs FYE 06/30/21</t>
        </r>
      </text>
    </comment>
    <comment ref="E121" authorId="1" shapeId="0" xr:uid="{E0E4D33E-851B-466C-B459-07E0387FC3FE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July Legal Services for Law Office of Young Minney processed in August</t>
        </r>
      </text>
    </comment>
    <comment ref="F121" authorId="0" shapeId="0" xr:uid="{F2332DF3-C24C-4C55-86AC-FBD949ABB000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Law Offices of Young Minney and Corr LLP</t>
        </r>
      </text>
    </comment>
    <comment ref="H121" authorId="1" shapeId="0" xr:uid="{969B5877-867F-46CB-9657-9F02A63961D6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Law Offices of Young Minney &amp; Corr 09/21</t>
        </r>
      </text>
    </comment>
    <comment ref="I121" authorId="1" shapeId="0" xr:uid="{F655C4C6-D883-43A4-A473-28D51C5F70B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Law Offices of Young Minney and Cor 10/21 &amp; Yarijanian &amp; Associates 03/21 - 11/21</t>
        </r>
      </text>
    </comment>
    <comment ref="J121" authorId="2" shapeId="0" xr:uid="{ADAFBF99-B47B-444F-8356-56ACD4BC1941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Young Minney &amp; Corr - Svcs through 11/30/21</t>
        </r>
      </text>
    </comment>
    <comment ref="L121" authorId="2" shapeId="0" xr:uid="{41908143-A5E0-4F34-B016-2EAFD77C0F40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Young Minney and Corr - Legal through 01/31/22</t>
        </r>
      </text>
    </comment>
    <comment ref="M121" authorId="2" shapeId="0" xr:uid="{62BF8025-3A34-4D65-9A1A-815958EC866A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Young Minney and Corr - Legal through 02/28/22</t>
        </r>
      </text>
    </comment>
    <comment ref="N121" authorId="2" shapeId="0" xr:uid="{F17838CE-85A0-4085-8EB0-B8260A7BA063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Young Minney and Corr - Legal through 03/31/22</t>
        </r>
      </text>
    </comment>
    <comment ref="O121" authorId="2" shapeId="0" xr:uid="{45ECB8FF-4E42-4DEC-B79D-11F7C01E7BD0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Young Minney and Corr - Legal through 04/30/22</t>
        </r>
      </text>
    </comment>
    <comment ref="I122" authorId="1" shapeId="0" xr:uid="{3A8C3ABD-D2B6-4FCC-A241-0DC5A5ABAFB5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Leticia Holden - CPR, AED &amp; First Aid Certification Refund</t>
        </r>
      </text>
    </comment>
    <comment ref="M122" authorId="2" shapeId="0" xr:uid="{8788A641-8DB5-4FAE-971F-6BE12BEE4502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Includes Bureau of Education CC Transactions $1.7</t>
        </r>
      </text>
    </comment>
    <comment ref="F123" authorId="0" shapeId="0" xr:uid="{7CAC2FC3-5522-4119-ADC8-029A0246231E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CoVerify Health LLC - Consulting Svcs $6.6K</t>
        </r>
      </text>
    </comment>
    <comment ref="G123" authorId="0" shapeId="0" xr:uid="{3B204D25-F5BF-449A-B4EE-7BB2A480C6B5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CPR &amp; E-rate Mgmt Svcs</t>
        </r>
      </text>
    </comment>
    <comment ref="I123" authorId="1" shapeId="0" xr:uid="{B2D931F3-63E0-4856-BA45-456041334866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Chris Laneheart, Rosa Arrington, and Learning Tech E-Rate Management Svcs + Richard Thomas reimbursement</t>
        </r>
      </text>
    </comment>
    <comment ref="J123" authorId="2" shapeId="0" xr:uid="{4F1C327A-CAA0-40F7-AE10-2EFD5BB549E7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Learningtech - E-rate Mgmt Svcs - 07/21-12/21 $2.4k
Rosa Arrington - 11/21 Svcs $1.4k</t>
        </r>
      </text>
    </comment>
    <comment ref="K123" authorId="2" shapeId="0" xr:uid="{0F854F66-D0C0-4F26-B4A1-FE2D8948D52E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Rosa Arrington - Svcs 12/21 $1.5k</t>
        </r>
      </text>
    </comment>
    <comment ref="M123" authorId="2" shapeId="0" xr:uid="{8CBAD4BF-F114-4340-8D20-20BE30FBE9EF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Arlith Scott Howard - Svcs $3.3k
Rosa Arrington Svcs 02/22 $2.2k</t>
        </r>
      </text>
    </comment>
    <comment ref="N123" authorId="2" shapeId="0" xr:uid="{48748C71-7766-46C4-8EE7-5D02BCB053DE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Rosa Arrington Svcs 03/22 $2.4k</t>
        </r>
      </text>
    </comment>
    <comment ref="O123" authorId="2" shapeId="0" xr:uid="{02B73798-C027-41D1-BF0F-68A63F19BED4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Arlith Scott Howard Svcs $1.2k</t>
        </r>
      </text>
    </comment>
    <comment ref="F126" authorId="0" shapeId="0" xr:uid="{1788B979-F022-498D-8470-BF5CC997B525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Allen Silk Screen Printing &amp; Sign Co. - Printing svcs $9.7K</t>
        </r>
      </text>
    </comment>
    <comment ref="H126" authorId="1" shapeId="0" xr:uid="{B14E3AED-A102-4562-B33C-CBF1652A6DF2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Cnoteck and Allen Silk Screen Printing</t>
        </r>
      </text>
    </comment>
    <comment ref="I126" authorId="1" shapeId="0" xr:uid="{B926A7A3-D779-4795-8690-5A25B3A4C0B7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Allen Silk Screen printing &amp; Sign</t>
        </r>
      </text>
    </comment>
    <comment ref="J126" authorId="2" shapeId="0" xr:uid="{FE010EB1-C098-4514-9CA8-23C9A494A402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Allen Silk Screen Printing - Printing Svcs (2,250) $2.2k</t>
        </r>
      </text>
    </comment>
    <comment ref="K126" authorId="1" shapeId="0" xr:uid="{76EE883F-C77C-4E5E-80E4-84CD1524FA00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Allwn Silk Screen Printing &amp; Canoteck</t>
        </r>
      </text>
    </comment>
    <comment ref="L126" authorId="2" shapeId="0" xr:uid="{0ECC20A9-580B-4049-9FDE-AB337A585852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Allen Silk Screen Printing &amp; Sign</t>
        </r>
      </text>
    </comment>
    <comment ref="N126" authorId="2" shapeId="0" xr:uid="{DC4BF03C-FEE5-41B1-8BBC-96A5FBA8F407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Allen Silk Printing Svcs (2000)</t>
        </r>
      </text>
    </comment>
    <comment ref="H127" authorId="1" shapeId="0" xr:uid="{AE839C07-A2AD-47B9-8D45-1F2F9FFECB9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Annual Fire Permit Renewal - City of Los Angeles</t>
        </r>
      </text>
    </comment>
    <comment ref="I127" authorId="1" shapeId="0" xr:uid="{9196257F-A18F-4F43-8251-406255FF69F5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City of Los Angeles Police Alarm Permit renewal and Fire permit 11/21</t>
        </r>
      </text>
    </comment>
    <comment ref="K127" authorId="1" shapeId="0" xr:uid="{4401D8DA-EB02-4B7D-B27A-2F7C70857B61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Employee live scans, fingerprinting, and TB Test. County of Los Angeles - food safety inspection</t>
        </r>
      </text>
    </comment>
    <comment ref="G128" authorId="0" shapeId="0" xr:uid="{3948B310-9FD9-49E4-BAFE-EE3863033C4F}">
      <text>
        <r>
          <rPr>
            <b/>
            <sz val="9"/>
            <color indexed="81"/>
            <rFont val="Tahoma"/>
            <family val="2"/>
          </rPr>
          <t>Willa Zhai:</t>
        </r>
        <r>
          <rPr>
            <sz val="9"/>
            <color indexed="81"/>
            <rFont val="Tahoma"/>
            <family val="2"/>
          </rPr>
          <t xml:space="preserve">
Payroll Svcs for Aug</t>
        </r>
      </text>
    </comment>
    <comment ref="H128" authorId="1" shapeId="0" xr:uid="{16FBB8B9-58B4-4EAF-8888-57FBCCAA119C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CI Payroll services entered in November</t>
        </r>
      </text>
    </comment>
    <comment ref="I128" authorId="1" shapeId="0" xr:uid="{7FA4665A-E2DC-4EAE-BEBE-1CF3470A2273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CI Payroll Svcs 09/21 &amp; 10/21, Qtr 3 2021 Tax Returns</t>
        </r>
      </text>
    </comment>
    <comment ref="L128" authorId="2" shapeId="0" xr:uid="{756EDC7C-DCFB-4652-B648-7F9A84D49CCA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CI Payroll Svcs - 11/21-01/22</t>
        </r>
      </text>
    </comment>
    <comment ref="K129" authorId="1" shapeId="0" xr:uid="{AAF81A95-CCC4-4FE6-83DC-D5755DFDAAD6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Student Data Svcs 11/21 to 12/21</t>
        </r>
      </text>
    </comment>
    <comment ref="L129" authorId="5" shapeId="0" xr:uid="{030AEF70-D204-48D8-9A86-DD2EFA124D44}">
      <text>
        <r>
          <rPr>
            <b/>
            <sz val="9"/>
            <color indexed="81"/>
            <rFont val="Tahoma"/>
            <family val="2"/>
          </rPr>
          <t>Lindsey Chow:</t>
        </r>
        <r>
          <rPr>
            <sz val="9"/>
            <color indexed="81"/>
            <rFont val="Tahoma"/>
            <family val="2"/>
          </rPr>
          <t xml:space="preserve">
FY 21 Management Fee</t>
        </r>
      </text>
    </comment>
    <comment ref="E130" authorId="1" shapeId="0" xr:uid="{08611BC0-06D6-4D2B-87FF-53C5F418757B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LAUSD Oversight Fees 07/21</t>
        </r>
      </text>
    </comment>
    <comment ref="I130" authorId="1" shapeId="0" xr:uid="{91093ED6-5E3C-4E4D-9429-CF29E0E3B7D6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based off actual RSA report</t>
        </r>
      </text>
    </comment>
    <comment ref="I131" authorId="1" shapeId="0" xr:uid="{79178B14-4B51-47A5-9A3E-99CCFB723F3D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FY2122 LAUSD Excess Cost</t>
        </r>
      </text>
    </comment>
    <comment ref="J131" authorId="2" shapeId="0" xr:uid="{FE6DFA80-991B-4EA3-87A2-E07C0722175A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FY2122 LAUSD Excess Cost</t>
        </r>
      </text>
    </comment>
    <comment ref="K131" authorId="2" shapeId="0" xr:uid="{C469671B-1DB4-4729-816A-ADBCD9DC4624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FY2122 LAUSD Excess Cost</t>
        </r>
      </text>
    </comment>
    <comment ref="L131" authorId="2" shapeId="0" xr:uid="{8632F0CA-3962-4AFC-BEED-1E6F0B442535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FY2122 LAUSD Excess Cost</t>
        </r>
      </text>
    </comment>
    <comment ref="M131" authorId="2" shapeId="0" xr:uid="{35C96777-C83B-4C57-BCC4-04071A84D353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FY2122 LAUSD Excess Cost</t>
        </r>
      </text>
    </comment>
    <comment ref="N131" authorId="2" shapeId="0" xr:uid="{53900693-2E0A-4900-BF34-E1D45E8BED27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FY2122 LAUSD Excess Cost</t>
        </r>
      </text>
    </comment>
    <comment ref="O131" authorId="2" shapeId="0" xr:uid="{E3DCC3DB-6DC5-4709-937C-186AA9CB2EDF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Q3 SFS Charter School Expense Reimb</t>
        </r>
      </text>
    </comment>
    <comment ref="E132" authorId="1" shapeId="0" xr:uid="{0798D7A4-9F7D-4027-831D-BAC7198840B6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LAUSD Option 3 10% SpED Fair Share and Revenues Retained by District 07/21</t>
        </r>
      </text>
    </comment>
    <comment ref="H132" authorId="1" shapeId="0" xr:uid="{2B41A6E8-C378-4FA3-8964-DB4B5F4DDBA3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based off actual RSA report</t>
        </r>
      </text>
    </comment>
    <comment ref="I132" authorId="1" shapeId="0" xr:uid="{2966E364-8D66-4430-8E96-30E4B7B53FE9}">
      <text>
        <r>
          <rPr>
            <b/>
            <sz val="9"/>
            <color indexed="81"/>
            <rFont val="Tahoma"/>
            <family val="2"/>
          </rPr>
          <t>Karen Bchakjian:</t>
        </r>
        <r>
          <rPr>
            <sz val="9"/>
            <color indexed="81"/>
            <rFont val="Tahoma"/>
            <family val="2"/>
          </rPr>
          <t xml:space="preserve">
Accrued based off actual RSA report</t>
        </r>
      </text>
    </comment>
    <comment ref="M132" authorId="2" shapeId="0" xr:uid="{BEA58551-686D-4A45-975F-0D85FEB9EB3D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Accrued based off RSA report</t>
        </r>
      </text>
    </comment>
    <comment ref="N132" authorId="2" shapeId="0" xr:uid="{11202862-DB46-4121-98A6-03A997FD9F50}">
      <text>
        <r>
          <rPr>
            <b/>
            <sz val="9"/>
            <color indexed="81"/>
            <rFont val="Tahoma"/>
            <family val="2"/>
          </rPr>
          <t>Jacqueline Sanchez:</t>
        </r>
        <r>
          <rPr>
            <sz val="9"/>
            <color indexed="81"/>
            <rFont val="Tahoma"/>
            <family val="2"/>
          </rPr>
          <t xml:space="preserve">
Accrued based off RSA report</t>
        </r>
      </text>
    </comment>
    <comment ref="G150" authorId="4" shapeId="0" xr:uid="{15CD61B3-0901-4162-9E7C-F79A5E2B8E3A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Feb deferrals</t>
        </r>
      </text>
    </comment>
    <comment ref="P150" authorId="4" shapeId="0" xr:uid="{DA52EC1B-FB07-458E-8AF2-97BCF93D0403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ESSER, nutrition</t>
        </r>
      </text>
    </comment>
    <comment ref="G156" authorId="4" shapeId="0" xr:uid="{A9889DC7-243F-4374-AAE7-38280427348C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Mainly prop 39 repayment</t>
        </r>
      </text>
    </comment>
    <comment ref="P156" authorId="4" shapeId="0" xr:uid="{E64D8EEF-45E5-42A2-9066-AF7D1DC54B18}">
      <text>
        <r>
          <rPr>
            <b/>
            <sz val="9"/>
            <color indexed="81"/>
            <rFont val="Tahoma"/>
            <family val="2"/>
          </rPr>
          <t>Geetha Huma:</t>
        </r>
        <r>
          <rPr>
            <sz val="9"/>
            <color indexed="81"/>
            <rFont val="Tahoma"/>
            <family val="2"/>
          </rPr>
          <t xml:space="preserve">
Mainly prop 39 repayment.</t>
        </r>
      </text>
    </comment>
  </commentList>
</comments>
</file>

<file path=xl/sharedStrings.xml><?xml version="1.0" encoding="utf-8"?>
<sst xmlns="http://schemas.openxmlformats.org/spreadsheetml/2006/main" count="839" uniqueCount="220">
  <si>
    <t xml:space="preserve">Total Expenditures Table </t>
  </si>
  <si>
    <t xml:space="preserve">LCFF Funds </t>
  </si>
  <si>
    <t xml:space="preserve">Other State Funds </t>
  </si>
  <si>
    <t xml:space="preserve">Local Funds </t>
  </si>
  <si>
    <t xml:space="preserve">Federal Funds </t>
  </si>
  <si>
    <t xml:space="preserve">Total Funds </t>
  </si>
  <si>
    <t xml:space="preserve">Totals: </t>
  </si>
  <si>
    <t xml:space="preserve">Total Personnel </t>
  </si>
  <si>
    <t xml:space="preserve">Total Non-personnel </t>
  </si>
  <si>
    <t xml:space="preserve">Goal </t>
  </si>
  <si>
    <t xml:space="preserve">Action # </t>
  </si>
  <si>
    <t xml:space="preserve">Student Group(s) </t>
  </si>
  <si>
    <t xml:space="preserve">Title </t>
  </si>
  <si>
    <r>
      <t>X</t>
    </r>
    <r>
      <rPr>
        <sz val="13"/>
        <color rgb="FF000000"/>
        <rFont val="Arial"/>
        <family val="2"/>
      </rPr>
      <t xml:space="preserve">English Learners </t>
    </r>
    <r>
      <rPr>
        <sz val="13"/>
        <color rgb="FFB0CDEA"/>
        <rFont val="Arial"/>
        <family val="2"/>
      </rPr>
      <t>X</t>
    </r>
    <r>
      <rPr>
        <sz val="13"/>
        <color rgb="FF000000"/>
        <rFont val="Arial"/>
        <family val="2"/>
      </rPr>
      <t xml:space="preserve">Foster Youth </t>
    </r>
    <r>
      <rPr>
        <sz val="13"/>
        <color rgb="FFB0CDEA"/>
        <rFont val="Arial"/>
        <family val="2"/>
      </rPr>
      <t>X</t>
    </r>
    <r>
      <rPr>
        <sz val="13"/>
        <color rgb="FF000000"/>
        <rFont val="Arial"/>
        <family val="2"/>
      </rPr>
      <t xml:space="preserve">Low Income </t>
    </r>
  </si>
  <si>
    <t xml:space="preserve">Support to increase student academic achievement </t>
  </si>
  <si>
    <r>
      <t>X</t>
    </r>
    <r>
      <rPr>
        <sz val="13"/>
        <color rgb="FF000000"/>
        <rFont val="Arial"/>
        <family val="2"/>
      </rPr>
      <t xml:space="preserve">English Learners </t>
    </r>
    <r>
      <rPr>
        <sz val="13"/>
        <color rgb="FFD5E6F5"/>
        <rFont val="Arial"/>
        <family val="2"/>
      </rPr>
      <t>X</t>
    </r>
    <r>
      <rPr>
        <sz val="13"/>
        <color rgb="FF000000"/>
        <rFont val="Arial"/>
        <family val="2"/>
      </rPr>
      <t xml:space="preserve">Foster Youth </t>
    </r>
    <r>
      <rPr>
        <sz val="13"/>
        <color rgb="FFD5E6F5"/>
        <rFont val="Arial"/>
        <family val="2"/>
      </rPr>
      <t>X</t>
    </r>
    <r>
      <rPr>
        <sz val="13"/>
        <color rgb="FF000000"/>
        <rFont val="Arial"/>
        <family val="2"/>
      </rPr>
      <t xml:space="preserve">Low Income </t>
    </r>
  </si>
  <si>
    <t>Teacher PD, Coaching Support</t>
  </si>
  <si>
    <t>Maintain Technology/Digital Resources</t>
  </si>
  <si>
    <t>Monitor Student Proficiency, provided resources, adjust program to support identified</t>
  </si>
  <si>
    <t>Teacher Retention</t>
  </si>
  <si>
    <t xml:space="preserve">Develop MTSS focused on students academic needs </t>
  </si>
  <si>
    <t>Maintain Safe Campus</t>
  </si>
  <si>
    <r>
      <t>X</t>
    </r>
    <r>
      <rPr>
        <sz val="13"/>
        <color rgb="FF000000"/>
        <rFont val="Arial"/>
        <family val="2"/>
      </rPr>
      <t xml:space="preserve">English Learners </t>
    </r>
    <r>
      <rPr>
        <sz val="13"/>
        <color rgb="FFD5E6F5"/>
        <rFont val="Arial"/>
        <family val="2"/>
      </rPr>
      <t>X</t>
    </r>
    <r>
      <rPr>
        <sz val="13"/>
        <color rgb="FF000000"/>
        <rFont val="Arial"/>
        <family val="2"/>
      </rPr>
      <t xml:space="preserve">Foster Youth </t>
    </r>
    <r>
      <rPr>
        <sz val="13"/>
        <color rgb="FFD5E6F5"/>
        <rFont val="Arial"/>
        <family val="2"/>
      </rPr>
      <t>X</t>
    </r>
    <r>
      <rPr>
        <sz val="13"/>
        <color rgb="FF000000"/>
        <rFont val="Arial"/>
        <family val="2"/>
      </rPr>
      <t>Low Income  All</t>
    </r>
  </si>
  <si>
    <t>SEL Supports</t>
  </si>
  <si>
    <t>Nutrition</t>
  </si>
  <si>
    <r>
      <t>X</t>
    </r>
    <r>
      <rPr>
        <sz val="13"/>
        <color rgb="FF000000"/>
        <rFont val="Arial"/>
        <family val="2"/>
      </rPr>
      <t xml:space="preserve">English Learners </t>
    </r>
    <r>
      <rPr>
        <sz val="13"/>
        <color rgb="FFB0CDEA"/>
        <rFont val="Arial"/>
        <family val="2"/>
      </rPr>
      <t>X</t>
    </r>
    <r>
      <rPr>
        <sz val="13"/>
        <color rgb="FF000000"/>
        <rFont val="Arial"/>
        <family val="2"/>
      </rPr>
      <t xml:space="preserve">Foster Youth </t>
    </r>
    <r>
      <rPr>
        <sz val="13"/>
        <color rgb="FFB0CDEA"/>
        <rFont val="Arial"/>
        <family val="2"/>
      </rPr>
      <t>X</t>
    </r>
    <r>
      <rPr>
        <sz val="13"/>
        <color rgb="FF000000"/>
        <rFont val="Arial"/>
        <family val="2"/>
      </rPr>
      <t>Low Income ALL</t>
    </r>
  </si>
  <si>
    <t>Student Empowerment</t>
  </si>
  <si>
    <t>Support School Culture</t>
  </si>
  <si>
    <t>Interventions and Enrichment</t>
  </si>
  <si>
    <t>Student Incentive Programs</t>
  </si>
  <si>
    <t xml:space="preserve">Contributing Expenditures Tables </t>
  </si>
  <si>
    <t xml:space="preserve">Totals by Type </t>
  </si>
  <si>
    <t xml:space="preserve">Total LCFF Funds </t>
  </si>
  <si>
    <t xml:space="preserve">Total: </t>
  </si>
  <si>
    <t xml:space="preserve">LEA-wide Total: </t>
  </si>
  <si>
    <t xml:space="preserve">Limited Total: </t>
  </si>
  <si>
    <t xml:space="preserve">Schoolwide Total: </t>
  </si>
  <si>
    <t xml:space="preserve">Action Title </t>
  </si>
  <si>
    <t xml:space="preserve">Scope </t>
  </si>
  <si>
    <t xml:space="preserve">Unduplicated Student Group(s) </t>
  </si>
  <si>
    <t xml:space="preserve">Location </t>
  </si>
  <si>
    <r>
      <t>X</t>
    </r>
    <r>
      <rPr>
        <sz val="13"/>
        <color rgb="FF000000"/>
        <rFont val="Arial"/>
        <family val="2"/>
      </rPr>
      <t xml:space="preserve">LEA-wide </t>
    </r>
  </si>
  <si>
    <t>Other State Funds</t>
  </si>
  <si>
    <t>y</t>
  </si>
  <si>
    <t>n</t>
  </si>
  <si>
    <t>lcff</t>
  </si>
  <si>
    <t>fed</t>
  </si>
  <si>
    <t>sb740/lcff</t>
  </si>
  <si>
    <t>Personnel Flag</t>
  </si>
  <si>
    <t>Personel Exp</t>
  </si>
  <si>
    <t>Non Personel Exp</t>
  </si>
  <si>
    <t>nutrition revenue</t>
  </si>
  <si>
    <t>Monthly Cash Flow/Forecast FY21-22</t>
  </si>
  <si>
    <t>Revised 06/15/22</t>
  </si>
  <si>
    <t xml:space="preserve">ADA = </t>
  </si>
  <si>
    <t>Year-End Accruals</t>
  </si>
  <si>
    <t>Annual Forecast</t>
  </si>
  <si>
    <t>Annual Budget</t>
  </si>
  <si>
    <t>Favorable / (Unfav.)</t>
  </si>
  <si>
    <t>PY Forecast</t>
  </si>
  <si>
    <t>LCFF State Aid</t>
  </si>
  <si>
    <t>New School/New Grade Apportionment</t>
  </si>
  <si>
    <t>n/a</t>
  </si>
  <si>
    <t>In Lieu of Property Taxes</t>
  </si>
  <si>
    <t>New School In Lieu of Property Taxes</t>
  </si>
  <si>
    <t>Special Education</t>
  </si>
  <si>
    <t>Revenues</t>
  </si>
  <si>
    <t>State Aid - Revenue Limit</t>
  </si>
  <si>
    <t>LCFF - New Grade</t>
  </si>
  <si>
    <t>LCFF - Continuing Charters</t>
  </si>
  <si>
    <t/>
  </si>
  <si>
    <t>Education Protection Account</t>
  </si>
  <si>
    <t>State Aid - Prior Year</t>
  </si>
  <si>
    <t>Federal Revenue</t>
  </si>
  <si>
    <t>Special Education - Entitlement</t>
  </si>
  <si>
    <t>Special Education - Discretionary</t>
  </si>
  <si>
    <t>Federal Child Nutrition</t>
  </si>
  <si>
    <t>Title I, Part A - Basic Low Income</t>
  </si>
  <si>
    <t>Title II, Part A - Teacher Quality</t>
  </si>
  <si>
    <t>Title III - Limited English</t>
  </si>
  <si>
    <t>Title V, Part B - PCSG</t>
  </si>
  <si>
    <t>Charter Facility Incentive Grant</t>
  </si>
  <si>
    <t>Other Federal Revenue</t>
  </si>
  <si>
    <t>Prior Year Federal Revenue</t>
  </si>
  <si>
    <t>Other State Revenue</t>
  </si>
  <si>
    <t>State Special Education</t>
  </si>
  <si>
    <t>Child Nutrition</t>
  </si>
  <si>
    <t>School Facilities (SB740)</t>
  </si>
  <si>
    <t xml:space="preserve">Mandated Cost </t>
  </si>
  <si>
    <t>State Lottery</t>
  </si>
  <si>
    <t>Prior Year Revenue</t>
  </si>
  <si>
    <t>Other Local Revenue</t>
  </si>
  <si>
    <t>Food Service Sales</t>
  </si>
  <si>
    <t>Lease and Rental Income</t>
  </si>
  <si>
    <t>Interest Revenue</t>
  </si>
  <si>
    <t>Other Fees and Contracts</t>
  </si>
  <si>
    <t>ASB Fundraising</t>
  </si>
  <si>
    <t>School Fundraising</t>
  </si>
  <si>
    <t>Contributions, Unrestricted</t>
  </si>
  <si>
    <t>Contributions, Restricted</t>
  </si>
  <si>
    <t>Total Revenue</t>
  </si>
  <si>
    <t>Expenses</t>
  </si>
  <si>
    <t>Certificated Salaries</t>
  </si>
  <si>
    <t>Teachers' Salaries</t>
  </si>
  <si>
    <t>Teachers' Substitute Hours</t>
  </si>
  <si>
    <t>Teachers' Extra Duty/Stipends</t>
  </si>
  <si>
    <t>Pupil Support Salaries</t>
  </si>
  <si>
    <t>Administrators' Salaries</t>
  </si>
  <si>
    <t>Other Certificated Salaries</t>
  </si>
  <si>
    <t>Classified Salaries</t>
  </si>
  <si>
    <t>Instructional Salaries</t>
  </si>
  <si>
    <t>Support Salaries</t>
  </si>
  <si>
    <t>Classified Administrators' Salaries</t>
  </si>
  <si>
    <t>Clerical and Office Staff Salaries</t>
  </si>
  <si>
    <t>Other Classified Salaries</t>
  </si>
  <si>
    <t>Benefits</t>
  </si>
  <si>
    <t>STRS</t>
  </si>
  <si>
    <t>PERS</t>
  </si>
  <si>
    <t xml:space="preserve">OASDI </t>
  </si>
  <si>
    <t xml:space="preserve">Medicare </t>
  </si>
  <si>
    <t>Health and Welfare</t>
  </si>
  <si>
    <t>State Unemployment</t>
  </si>
  <si>
    <t>Workers' Compensation</t>
  </si>
  <si>
    <t>Other Benefits</t>
  </si>
  <si>
    <t>Books and Supplies</t>
  </si>
  <si>
    <t>Textbooks and Core Materials</t>
  </si>
  <si>
    <t>Books and Reference Materials</t>
  </si>
  <si>
    <t>School Supplies</t>
  </si>
  <si>
    <t>Software</t>
  </si>
  <si>
    <t>Office Expense</t>
  </si>
  <si>
    <t>Business Meals</t>
  </si>
  <si>
    <t>School Fundraising Expense</t>
  </si>
  <si>
    <t>Noncapitalized Equipment</t>
  </si>
  <si>
    <t>Food Services</t>
  </si>
  <si>
    <t>Subagreement Services</t>
  </si>
  <si>
    <t>Nursing</t>
  </si>
  <si>
    <t xml:space="preserve">Special Education </t>
  </si>
  <si>
    <t>Substitute Teacher</t>
  </si>
  <si>
    <t>Transportation</t>
  </si>
  <si>
    <t>Security</t>
  </si>
  <si>
    <t>Other Educational Consultants</t>
  </si>
  <si>
    <t>Operations and Housekeeping</t>
  </si>
  <si>
    <t>Auto and Travel</t>
  </si>
  <si>
    <t>Dues &amp; Memberships</t>
  </si>
  <si>
    <t>Insurance</t>
  </si>
  <si>
    <t>Utilities</t>
  </si>
  <si>
    <t>Janitorial Services</t>
  </si>
  <si>
    <t>Miscellaneous Expense</t>
  </si>
  <si>
    <t>ASB Fundraising Expense</t>
  </si>
  <si>
    <t>Communications</t>
  </si>
  <si>
    <t>Postage and Shipping</t>
  </si>
  <si>
    <t>Facilities, Repairs and Other Leases</t>
  </si>
  <si>
    <t>Rent</t>
  </si>
  <si>
    <t>Additional Rent</t>
  </si>
  <si>
    <t>Equipment Leases</t>
  </si>
  <si>
    <t>Other Leases</t>
  </si>
  <si>
    <t>Real/Personal Property Taxes</t>
  </si>
  <si>
    <t>Repairs and Maintenance</t>
  </si>
  <si>
    <t>Professional/Consulting Services</t>
  </si>
  <si>
    <t>IT</t>
  </si>
  <si>
    <t>Audit &amp; Taxes</t>
  </si>
  <si>
    <t>Legal</t>
  </si>
  <si>
    <t>Professional Development</t>
  </si>
  <si>
    <t>General Consulting</t>
  </si>
  <si>
    <t>Special Activities/Field Trips</t>
  </si>
  <si>
    <t>Bank Charges</t>
  </si>
  <si>
    <t>Printing</t>
  </si>
  <si>
    <t>Other taxes and fees</t>
  </si>
  <si>
    <t>Payroll Service Fee</t>
  </si>
  <si>
    <t>Management Fee</t>
  </si>
  <si>
    <t>District Oversight Fee</t>
  </si>
  <si>
    <t>County Fees</t>
  </si>
  <si>
    <t>SPED Encroachment</t>
  </si>
  <si>
    <t>Public Relations/Recruitment</t>
  </si>
  <si>
    <t xml:space="preserve">Depreciation </t>
  </si>
  <si>
    <t>Depreciation Expense</t>
  </si>
  <si>
    <t>Interest</t>
  </si>
  <si>
    <t>Interest Expense</t>
  </si>
  <si>
    <t>Total Expenses</t>
  </si>
  <si>
    <t>Monthly Surplus (Deficit)</t>
  </si>
  <si>
    <t>Cash Flow Adjustments</t>
  </si>
  <si>
    <t>Cash flows from operating activities</t>
  </si>
  <si>
    <t>Depreciation/Amortization</t>
  </si>
  <si>
    <t>Public Funding Receivables</t>
  </si>
  <si>
    <t>Grants and Contributions Rec.</t>
  </si>
  <si>
    <t>Due To/From Related Parties</t>
  </si>
  <si>
    <t>Prepaid Expenses</t>
  </si>
  <si>
    <t>Other Assets</t>
  </si>
  <si>
    <t>Accounts Payable</t>
  </si>
  <si>
    <t>Accrued Expenses</t>
  </si>
  <si>
    <t>Deferred Revenue</t>
  </si>
  <si>
    <t>Other Liabilities</t>
  </si>
  <si>
    <t>Cash flows from investing activities</t>
  </si>
  <si>
    <t>Purchases of Prop. And Equip.</t>
  </si>
  <si>
    <t>Notes Receivable</t>
  </si>
  <si>
    <t>Cash flows from financing activities</t>
  </si>
  <si>
    <t>Proceeds from Factoring</t>
  </si>
  <si>
    <t>Payments on Factoring</t>
  </si>
  <si>
    <t>Proceeds(Payments) on Debt</t>
  </si>
  <si>
    <t>Total Change in Cash</t>
  </si>
  <si>
    <t>Cash, Beginning of Month</t>
  </si>
  <si>
    <t>Cash, End of Month</t>
  </si>
  <si>
    <t>New Horizons Charter Academy</t>
  </si>
  <si>
    <t>FY22-23 Estimated Actuals</t>
  </si>
  <si>
    <t>Monthly Cash Flow/Budget FY22-23</t>
  </si>
  <si>
    <t>Revised 5/24/22</t>
  </si>
  <si>
    <t>Original Budget Total</t>
  </si>
  <si>
    <t>Deferred Expenses</t>
  </si>
  <si>
    <t>FY22-23 New Horizons Charter Academy</t>
  </si>
  <si>
    <t>both</t>
  </si>
  <si>
    <t>New Horizons</t>
  </si>
  <si>
    <t xml:space="preserve">FY22-23 Total Expenditures Table </t>
  </si>
  <si>
    <t>Contributing expenses</t>
  </si>
  <si>
    <t>NON Contributing expenses</t>
  </si>
  <si>
    <t>Overhead and admin cost</t>
  </si>
  <si>
    <t>split 35%/65% personnel and non personnel</t>
  </si>
  <si>
    <t>TOTAL REVENUE check</t>
  </si>
  <si>
    <t>TOTAL EXPENSES</t>
  </si>
  <si>
    <t>Surplus / Deficit</t>
  </si>
  <si>
    <t>FY21-22 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</si>
</sst>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0.0%"/>
    <numFmt numFmtId="167" formatCode="_(* #,##0_);_(* \(#,##0\);_(* &quot;-&quot;??_);_(@_)"/>
  </numFmts>
  <fonts count="4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2"/>
      <color rgb="FF000000"/>
      <name val="Times"/>
      <family val="1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3"/>
      <color rgb="FFB0CDEA"/>
      <name val="Arial"/>
      <family val="2"/>
    </font>
    <font>
      <sz val="13"/>
      <color rgb="FFD5E6F5"/>
      <name val="Arial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6"/>
      <color theme="1" tint="0.1499984740745262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b/>
      <i/>
      <sz val="9"/>
      <color theme="0" tint="-0.249977111117893"/>
      <name val="Calibri"/>
      <family val="2"/>
      <scheme val="minor"/>
    </font>
    <font>
      <i/>
      <sz val="9"/>
      <color theme="0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193C66"/>
        <bgColor indexed="64"/>
      </patternFill>
    </fill>
    <fill>
      <patternFill patternType="solid">
        <fgColor rgb="FFB0CDEA"/>
        <bgColor indexed="64"/>
      </patternFill>
    </fill>
    <fill>
      <patternFill patternType="solid">
        <fgColor rgb="FFD5E6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7C9C8"/>
        <bgColor indexed="64"/>
      </patternFill>
    </fill>
    <fill>
      <patternFill patternType="solid">
        <fgColor rgb="FF7DB03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4">
    <xf numFmtId="0" fontId="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8" fontId="6" fillId="3" borderId="5" xfId="0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8" fontId="6" fillId="4" borderId="5" xfId="0" applyNumberFormat="1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4" fontId="0" fillId="0" borderId="0" xfId="1" applyNumberFormat="1" applyFont="1"/>
    <xf numFmtId="164" fontId="11" fillId="5" borderId="0" xfId="1" applyNumberFormat="1" applyFont="1" applyFill="1"/>
    <xf numFmtId="8" fontId="6" fillId="5" borderId="5" xfId="0" applyNumberFormat="1" applyFont="1" applyFill="1" applyBorder="1" applyAlignment="1">
      <alignment vertical="center" wrapText="1"/>
    </xf>
    <xf numFmtId="8" fontId="0" fillId="0" borderId="0" xfId="0" applyNumberFormat="1"/>
    <xf numFmtId="8" fontId="11" fillId="0" borderId="0" xfId="0" applyNumberFormat="1" applyFont="1"/>
    <xf numFmtId="0" fontId="13" fillId="0" borderId="0" xfId="0" applyFont="1" applyAlignment="1">
      <alignment horizontal="center"/>
    </xf>
    <xf numFmtId="164" fontId="14" fillId="5" borderId="0" xfId="1" applyNumberFormat="1" applyFont="1" applyFill="1"/>
    <xf numFmtId="0" fontId="13" fillId="0" borderId="0" xfId="0" applyFont="1"/>
    <xf numFmtId="0" fontId="16" fillId="6" borderId="0" xfId="4" applyFont="1" applyFill="1"/>
    <xf numFmtId="0" fontId="17" fillId="6" borderId="0" xfId="4" applyFont="1" applyFill="1"/>
    <xf numFmtId="41" fontId="17" fillId="6" borderId="0" xfId="4" applyNumberFormat="1" applyFont="1" applyFill="1"/>
    <xf numFmtId="41" fontId="17" fillId="6" borderId="0" xfId="4" applyNumberFormat="1" applyFont="1" applyFill="1" applyAlignment="1">
      <alignment wrapText="1"/>
    </xf>
    <xf numFmtId="41" fontId="18" fillId="6" borderId="0" xfId="4" applyNumberFormat="1" applyFont="1" applyFill="1" applyAlignment="1">
      <alignment wrapText="1"/>
    </xf>
    <xf numFmtId="0" fontId="19" fillId="6" borderId="0" xfId="4" applyFont="1" applyFill="1" applyAlignment="1">
      <alignment horizontal="left"/>
    </xf>
    <xf numFmtId="0" fontId="20" fillId="6" borderId="0" xfId="4" applyFont="1" applyFill="1" applyAlignment="1">
      <alignment horizontal="left"/>
    </xf>
    <xf numFmtId="41" fontId="21" fillId="6" borderId="0" xfId="4" applyNumberFormat="1" applyFont="1" applyFill="1"/>
    <xf numFmtId="41" fontId="18" fillId="6" borderId="0" xfId="4" applyNumberFormat="1" applyFont="1" applyFill="1"/>
    <xf numFmtId="41" fontId="17" fillId="6" borderId="0" xfId="4" applyNumberFormat="1" applyFont="1" applyFill="1" applyAlignment="1">
      <alignment horizontal="right"/>
    </xf>
    <xf numFmtId="0" fontId="22" fillId="6" borderId="0" xfId="4" applyFont="1" applyFill="1"/>
    <xf numFmtId="0" fontId="23" fillId="6" borderId="0" xfId="4" applyFont="1" applyFill="1"/>
    <xf numFmtId="41" fontId="17" fillId="6" borderId="0" xfId="4" applyNumberFormat="1" applyFont="1" applyFill="1" applyAlignment="1">
      <alignment horizontal="center"/>
    </xf>
    <xf numFmtId="41" fontId="23" fillId="6" borderId="0" xfId="4" applyNumberFormat="1" applyFont="1" applyFill="1"/>
    <xf numFmtId="41" fontId="20" fillId="6" borderId="0" xfId="4" applyNumberFormat="1" applyFont="1" applyFill="1" applyAlignment="1">
      <alignment horizontal="center"/>
    </xf>
    <xf numFmtId="0" fontId="23" fillId="6" borderId="0" xfId="4" applyFont="1" applyFill="1" applyAlignment="1">
      <alignment vertical="center" wrapText="1"/>
    </xf>
    <xf numFmtId="0" fontId="17" fillId="6" borderId="0" xfId="4" applyFont="1" applyFill="1" applyAlignment="1">
      <alignment horizontal="right" vertical="top"/>
    </xf>
    <xf numFmtId="2" fontId="20" fillId="6" borderId="0" xfId="4" applyNumberFormat="1" applyFont="1" applyFill="1" applyAlignment="1">
      <alignment horizontal="left" vertical="top" wrapText="1"/>
    </xf>
    <xf numFmtId="165" fontId="18" fillId="7" borderId="6" xfId="4" applyNumberFormat="1" applyFont="1" applyFill="1" applyBorder="1" applyAlignment="1">
      <alignment horizontal="center" vertical="center" wrapText="1"/>
    </xf>
    <xf numFmtId="165" fontId="17" fillId="8" borderId="6" xfId="4" applyNumberFormat="1" applyFont="1" applyFill="1" applyBorder="1" applyAlignment="1">
      <alignment horizontal="center" vertical="center" wrapText="1"/>
    </xf>
    <xf numFmtId="41" fontId="17" fillId="6" borderId="0" xfId="4" applyNumberFormat="1" applyFont="1" applyFill="1" applyAlignment="1">
      <alignment horizontal="center" vertical="center" wrapText="1"/>
    </xf>
    <xf numFmtId="41" fontId="17" fillId="9" borderId="7" xfId="4" applyNumberFormat="1" applyFont="1" applyFill="1" applyBorder="1" applyAlignment="1">
      <alignment horizontal="center" vertical="center" wrapText="1"/>
    </xf>
    <xf numFmtId="41" fontId="20" fillId="6" borderId="0" xfId="4" applyNumberFormat="1" applyFont="1" applyFill="1" applyAlignment="1">
      <alignment horizontal="center" vertical="center" wrapText="1"/>
    </xf>
    <xf numFmtId="165" fontId="17" fillId="8" borderId="7" xfId="4" applyNumberFormat="1" applyFont="1" applyFill="1" applyBorder="1" applyAlignment="1">
      <alignment horizontal="center" vertical="center" wrapText="1"/>
    </xf>
    <xf numFmtId="165" fontId="18" fillId="7" borderId="7" xfId="4" applyNumberFormat="1" applyFont="1" applyFill="1" applyBorder="1" applyAlignment="1">
      <alignment horizontal="center" vertical="center" wrapText="1"/>
    </xf>
    <xf numFmtId="9" fontId="24" fillId="6" borderId="0" xfId="5" applyFont="1" applyFill="1" applyAlignment="1">
      <alignment vertical="center"/>
    </xf>
    <xf numFmtId="9" fontId="20" fillId="6" borderId="0" xfId="5" applyFont="1" applyFill="1" applyAlignment="1">
      <alignment vertical="center"/>
    </xf>
    <xf numFmtId="9" fontId="20" fillId="6" borderId="0" xfId="5" applyFont="1" applyFill="1" applyAlignment="1">
      <alignment horizontal="left" vertical="center"/>
    </xf>
    <xf numFmtId="166" fontId="23" fillId="6" borderId="8" xfId="5" applyNumberFormat="1" applyFont="1" applyFill="1" applyBorder="1" applyAlignment="1">
      <alignment horizontal="center" vertical="center"/>
    </xf>
    <xf numFmtId="166" fontId="23" fillId="6" borderId="9" xfId="5" applyNumberFormat="1" applyFont="1" applyFill="1" applyBorder="1" applyAlignment="1">
      <alignment horizontal="center" vertical="center"/>
    </xf>
    <xf numFmtId="166" fontId="24" fillId="6" borderId="9" xfId="5" applyNumberFormat="1" applyFont="1" applyFill="1" applyBorder="1" applyAlignment="1">
      <alignment horizontal="center" vertical="center"/>
    </xf>
    <xf numFmtId="166" fontId="24" fillId="6" borderId="10" xfId="5" applyNumberFormat="1" applyFont="1" applyFill="1" applyBorder="1" applyAlignment="1">
      <alignment horizontal="center" vertical="center"/>
    </xf>
    <xf numFmtId="166" fontId="24" fillId="6" borderId="8" xfId="5" applyNumberFormat="1" applyFont="1" applyFill="1" applyBorder="1" applyAlignment="1">
      <alignment horizontal="center" vertical="center"/>
    </xf>
    <xf numFmtId="166" fontId="24" fillId="8" borderId="10" xfId="5" applyNumberFormat="1" applyFont="1" applyFill="1" applyBorder="1" applyAlignment="1">
      <alignment horizontal="center" vertical="center"/>
    </xf>
    <xf numFmtId="9" fontId="24" fillId="6" borderId="0" xfId="5" applyFont="1" applyFill="1" applyAlignment="1">
      <alignment horizontal="center" vertical="center"/>
    </xf>
    <xf numFmtId="9" fontId="17" fillId="9" borderId="0" xfId="5" applyFont="1" applyFill="1" applyAlignment="1">
      <alignment horizontal="center" vertical="center"/>
    </xf>
    <xf numFmtId="165" fontId="20" fillId="6" borderId="0" xfId="4" applyNumberFormat="1" applyFont="1" applyFill="1" applyAlignment="1">
      <alignment vertical="center" wrapText="1"/>
    </xf>
    <xf numFmtId="9" fontId="23" fillId="6" borderId="0" xfId="5" applyFont="1" applyFill="1" applyAlignment="1">
      <alignment vertical="center"/>
    </xf>
    <xf numFmtId="166" fontId="23" fillId="6" borderId="11" xfId="5" applyNumberFormat="1" applyFont="1" applyFill="1" applyBorder="1" applyAlignment="1">
      <alignment horizontal="center" vertical="center"/>
    </xf>
    <xf numFmtId="166" fontId="23" fillId="6" borderId="0" xfId="5" applyNumberFormat="1" applyFont="1" applyFill="1" applyBorder="1" applyAlignment="1">
      <alignment horizontal="center" vertical="center"/>
    </xf>
    <xf numFmtId="166" fontId="24" fillId="6" borderId="12" xfId="5" applyNumberFormat="1" applyFont="1" applyFill="1" applyBorder="1" applyAlignment="1">
      <alignment horizontal="center" vertical="center" wrapText="1"/>
    </xf>
    <xf numFmtId="166" fontId="24" fillId="6" borderId="11" xfId="5" applyNumberFormat="1" applyFont="1" applyFill="1" applyBorder="1" applyAlignment="1">
      <alignment horizontal="center" vertical="center" wrapText="1"/>
    </xf>
    <xf numFmtId="166" fontId="24" fillId="6" borderId="0" xfId="5" applyNumberFormat="1" applyFont="1" applyFill="1" applyBorder="1" applyAlignment="1">
      <alignment horizontal="center" vertical="center" wrapText="1"/>
    </xf>
    <xf numFmtId="166" fontId="24" fillId="6" borderId="0" xfId="5" applyNumberFormat="1" applyFont="1" applyFill="1" applyBorder="1" applyAlignment="1">
      <alignment horizontal="center" vertical="center"/>
    </xf>
    <xf numFmtId="166" fontId="24" fillId="8" borderId="12" xfId="5" applyNumberFormat="1" applyFont="1" applyFill="1" applyBorder="1" applyAlignment="1">
      <alignment horizontal="center" vertical="center"/>
    </xf>
    <xf numFmtId="9" fontId="20" fillId="6" borderId="0" xfId="5" applyFont="1" applyFill="1" applyAlignment="1">
      <alignment horizontal="center" vertical="center"/>
    </xf>
    <xf numFmtId="9" fontId="24" fillId="6" borderId="0" xfId="6" applyFont="1" applyFill="1" applyAlignment="1">
      <alignment horizontal="center" vertical="center"/>
    </xf>
    <xf numFmtId="9" fontId="20" fillId="6" borderId="0" xfId="5" applyFont="1" applyFill="1" applyAlignment="1">
      <alignment vertical="center" wrapText="1"/>
    </xf>
    <xf numFmtId="9" fontId="20" fillId="6" borderId="0" xfId="5" applyFont="1" applyFill="1" applyAlignment="1">
      <alignment horizontal="left" vertical="center" wrapText="1"/>
    </xf>
    <xf numFmtId="166" fontId="23" fillId="6" borderId="11" xfId="5" applyNumberFormat="1" applyFont="1" applyFill="1" applyBorder="1" applyAlignment="1">
      <alignment horizontal="center" vertical="center" wrapText="1"/>
    </xf>
    <xf numFmtId="166" fontId="23" fillId="6" borderId="0" xfId="5" applyNumberFormat="1" applyFont="1" applyFill="1" applyBorder="1" applyAlignment="1">
      <alignment horizontal="center" vertical="center" wrapText="1"/>
    </xf>
    <xf numFmtId="166" fontId="24" fillId="6" borderId="12" xfId="5" applyNumberFormat="1" applyFont="1" applyFill="1" applyBorder="1" applyAlignment="1">
      <alignment horizontal="center" vertical="center"/>
    </xf>
    <xf numFmtId="9" fontId="24" fillId="6" borderId="0" xfId="5" applyFont="1" applyFill="1" applyAlignment="1">
      <alignment horizontal="center" vertical="center" wrapText="1"/>
    </xf>
    <xf numFmtId="9" fontId="23" fillId="6" borderId="0" xfId="5" applyFont="1" applyFill="1" applyAlignment="1">
      <alignment vertical="center" wrapText="1"/>
    </xf>
    <xf numFmtId="9" fontId="24" fillId="6" borderId="0" xfId="6" applyFont="1" applyFill="1" applyAlignment="1">
      <alignment horizontal="center" vertical="center" wrapText="1"/>
    </xf>
    <xf numFmtId="166" fontId="23" fillId="6" borderId="13" xfId="5" applyNumberFormat="1" applyFont="1" applyFill="1" applyBorder="1" applyAlignment="1">
      <alignment horizontal="center" vertical="center"/>
    </xf>
    <xf numFmtId="166" fontId="23" fillId="6" borderId="14" xfId="5" applyNumberFormat="1" applyFont="1" applyFill="1" applyBorder="1" applyAlignment="1">
      <alignment horizontal="center" vertical="center"/>
    </xf>
    <xf numFmtId="166" fontId="23" fillId="6" borderId="15" xfId="5" applyNumberFormat="1" applyFont="1" applyFill="1" applyBorder="1" applyAlignment="1">
      <alignment horizontal="center" vertical="center"/>
    </xf>
    <xf numFmtId="166" fontId="24" fillId="6" borderId="13" xfId="5" applyNumberFormat="1" applyFont="1" applyFill="1" applyBorder="1" applyAlignment="1">
      <alignment horizontal="center" vertical="center"/>
    </xf>
    <xf numFmtId="166" fontId="24" fillId="6" borderId="14" xfId="5" applyNumberFormat="1" applyFont="1" applyFill="1" applyBorder="1" applyAlignment="1">
      <alignment horizontal="center" vertical="center"/>
    </xf>
    <xf numFmtId="166" fontId="24" fillId="8" borderId="15" xfId="5" applyNumberFormat="1" applyFont="1" applyFill="1" applyBorder="1" applyAlignment="1">
      <alignment horizontal="center" vertical="center"/>
    </xf>
    <xf numFmtId="49" fontId="20" fillId="6" borderId="0" xfId="4" applyNumberFormat="1" applyFont="1" applyFill="1" applyAlignment="1">
      <alignment vertical="center"/>
    </xf>
    <xf numFmtId="41" fontId="24" fillId="6" borderId="0" xfId="4" applyNumberFormat="1" applyFont="1" applyFill="1" applyAlignment="1">
      <alignment vertical="center"/>
    </xf>
    <xf numFmtId="9" fontId="24" fillId="8" borderId="0" xfId="5" applyFont="1" applyFill="1" applyAlignment="1">
      <alignment vertical="center"/>
    </xf>
    <xf numFmtId="9" fontId="23" fillId="9" borderId="0" xfId="5" applyFont="1" applyFill="1" applyAlignment="1">
      <alignment vertical="center"/>
    </xf>
    <xf numFmtId="0" fontId="23" fillId="6" borderId="0" xfId="4" applyFont="1" applyFill="1" applyAlignment="1">
      <alignment vertical="center"/>
    </xf>
    <xf numFmtId="0" fontId="26" fillId="6" borderId="0" xfId="7" applyFont="1" applyFill="1" applyAlignment="1">
      <alignment vertical="center"/>
    </xf>
    <xf numFmtId="0" fontId="27" fillId="6" borderId="0" xfId="7" applyFont="1" applyFill="1" applyAlignment="1">
      <alignment horizontal="center" vertical="center" wrapText="1"/>
    </xf>
    <xf numFmtId="0" fontId="27" fillId="6" borderId="0" xfId="7" applyFont="1" applyFill="1" applyAlignment="1">
      <alignment vertical="center" wrapText="1"/>
    </xf>
    <xf numFmtId="41" fontId="24" fillId="10" borderId="0" xfId="5" applyNumberFormat="1" applyFont="1" applyFill="1" applyAlignment="1">
      <alignment vertical="center"/>
    </xf>
    <xf numFmtId="41" fontId="24" fillId="8" borderId="0" xfId="8" quotePrefix="1" applyNumberFormat="1" applyFont="1" applyFill="1" applyAlignment="1">
      <alignment horizontal="center" vertical="center"/>
    </xf>
    <xf numFmtId="41" fontId="24" fillId="6" borderId="0" xfId="8" quotePrefix="1" applyNumberFormat="1" applyFont="1" applyFill="1" applyAlignment="1">
      <alignment horizontal="center" vertical="center"/>
    </xf>
    <xf numFmtId="41" fontId="17" fillId="9" borderId="0" xfId="8" quotePrefix="1" applyNumberFormat="1" applyFont="1" applyFill="1" applyAlignment="1">
      <alignment horizontal="center" vertical="center"/>
    </xf>
    <xf numFmtId="0" fontId="17" fillId="6" borderId="0" xfId="4" applyFont="1" applyFill="1" applyAlignment="1">
      <alignment horizontal="right" vertical="center"/>
    </xf>
    <xf numFmtId="41" fontId="24" fillId="8" borderId="0" xfId="8" quotePrefix="1" applyNumberFormat="1" applyFont="1" applyFill="1" applyAlignment="1">
      <alignment vertical="center"/>
    </xf>
    <xf numFmtId="41" fontId="24" fillId="6" borderId="0" xfId="8" quotePrefix="1" applyNumberFormat="1" applyFont="1" applyFill="1" applyAlignment="1">
      <alignment vertical="center"/>
    </xf>
    <xf numFmtId="41" fontId="17" fillId="9" borderId="0" xfId="8" quotePrefix="1" applyNumberFormat="1" applyFont="1" applyFill="1" applyAlignment="1">
      <alignment vertical="center"/>
    </xf>
    <xf numFmtId="49" fontId="20" fillId="11" borderId="0" xfId="4" applyNumberFormat="1" applyFont="1" applyFill="1" applyAlignment="1">
      <alignment horizontal="left" vertical="center" wrapText="1"/>
    </xf>
    <xf numFmtId="0" fontId="23" fillId="11" borderId="0" xfId="7" applyFont="1" applyFill="1" applyAlignment="1">
      <alignment vertical="center"/>
    </xf>
    <xf numFmtId="41" fontId="24" fillId="8" borderId="0" xfId="5" applyNumberFormat="1" applyFont="1" applyFill="1" applyAlignment="1">
      <alignment vertical="center"/>
    </xf>
    <xf numFmtId="41" fontId="24" fillId="8" borderId="0" xfId="5" quotePrefix="1" applyNumberFormat="1" applyFont="1" applyFill="1" applyAlignment="1">
      <alignment vertical="center"/>
    </xf>
    <xf numFmtId="41" fontId="24" fillId="11" borderId="0" xfId="5" quotePrefix="1" applyNumberFormat="1" applyFont="1" applyFill="1" applyAlignment="1">
      <alignment vertical="center"/>
    </xf>
    <xf numFmtId="41" fontId="23" fillId="11" borderId="0" xfId="4" applyNumberFormat="1" applyFont="1" applyFill="1" applyAlignment="1">
      <alignment vertical="center"/>
    </xf>
    <xf numFmtId="41" fontId="17" fillId="11" borderId="0" xfId="5" applyNumberFormat="1" applyFont="1" applyFill="1" applyAlignment="1">
      <alignment vertical="center"/>
    </xf>
    <xf numFmtId="41" fontId="24" fillId="10" borderId="0" xfId="6" applyNumberFormat="1" applyFont="1" applyFill="1" applyAlignment="1">
      <alignment vertical="center"/>
    </xf>
    <xf numFmtId="41" fontId="24" fillId="8" borderId="0" xfId="6" applyNumberFormat="1" applyFont="1" applyFill="1" applyAlignment="1">
      <alignment vertical="center"/>
    </xf>
    <xf numFmtId="41" fontId="24" fillId="8" borderId="0" xfId="6" quotePrefix="1" applyNumberFormat="1" applyFont="1" applyFill="1" applyAlignment="1">
      <alignment vertical="center"/>
    </xf>
    <xf numFmtId="41" fontId="24" fillId="11" borderId="0" xfId="6" quotePrefix="1" applyNumberFormat="1" applyFont="1" applyFill="1" applyAlignment="1">
      <alignment vertical="center"/>
    </xf>
    <xf numFmtId="41" fontId="17" fillId="11" borderId="0" xfId="4" applyNumberFormat="1" applyFont="1" applyFill="1" applyAlignment="1">
      <alignment vertical="center"/>
    </xf>
    <xf numFmtId="41" fontId="24" fillId="11" borderId="0" xfId="5" applyNumberFormat="1" applyFont="1" applyFill="1" applyAlignment="1">
      <alignment vertical="center"/>
    </xf>
    <xf numFmtId="0" fontId="17" fillId="6" borderId="0" xfId="4" applyFont="1" applyFill="1" applyAlignment="1">
      <alignment vertical="center"/>
    </xf>
    <xf numFmtId="49" fontId="20" fillId="6" borderId="0" xfId="4" applyNumberFormat="1" applyFont="1" applyFill="1" applyAlignment="1">
      <alignment horizontal="left" vertical="center" wrapText="1"/>
    </xf>
    <xf numFmtId="0" fontId="28" fillId="6" borderId="0" xfId="7" applyFont="1" applyFill="1" applyAlignment="1">
      <alignment horizontal="center" vertical="center" wrapText="1"/>
    </xf>
    <xf numFmtId="0" fontId="23" fillId="6" borderId="0" xfId="7" applyFont="1" applyFill="1" applyAlignment="1">
      <alignment vertical="center" wrapText="1"/>
    </xf>
    <xf numFmtId="41" fontId="24" fillId="6" borderId="0" xfId="5" applyNumberFormat="1" applyFont="1" applyFill="1" applyAlignment="1">
      <alignment vertical="center"/>
    </xf>
    <xf numFmtId="41" fontId="17" fillId="9" borderId="0" xfId="5" applyNumberFormat="1" applyFont="1" applyFill="1" applyAlignment="1">
      <alignment vertical="center"/>
    </xf>
    <xf numFmtId="41" fontId="23" fillId="6" borderId="0" xfId="4" applyNumberFormat="1" applyFont="1" applyFill="1" applyAlignment="1">
      <alignment vertical="center"/>
    </xf>
    <xf numFmtId="0" fontId="23" fillId="6" borderId="0" xfId="7" applyFont="1" applyFill="1" applyAlignment="1">
      <alignment vertical="center"/>
    </xf>
    <xf numFmtId="167" fontId="24" fillId="8" borderId="0" xfId="5" applyNumberFormat="1" applyFont="1" applyFill="1" applyAlignment="1">
      <alignment vertical="center"/>
    </xf>
    <xf numFmtId="0" fontId="28" fillId="6" borderId="0" xfId="7" applyFont="1" applyFill="1" applyAlignment="1">
      <alignment vertical="center" wrapText="1"/>
    </xf>
    <xf numFmtId="41" fontId="23" fillId="10" borderId="16" xfId="4" applyNumberFormat="1" applyFont="1" applyFill="1" applyBorder="1" applyAlignment="1">
      <alignment vertical="center"/>
    </xf>
    <xf numFmtId="41" fontId="23" fillId="8" borderId="16" xfId="4" applyNumberFormat="1" applyFont="1" applyFill="1" applyBorder="1" applyAlignment="1">
      <alignment vertical="center"/>
    </xf>
    <xf numFmtId="41" fontId="23" fillId="6" borderId="16" xfId="4" applyNumberFormat="1" applyFont="1" applyFill="1" applyBorder="1" applyAlignment="1">
      <alignment vertical="center"/>
    </xf>
    <xf numFmtId="41" fontId="17" fillId="9" borderId="16" xfId="4" applyNumberFormat="1" applyFont="1" applyFill="1" applyBorder="1" applyAlignment="1">
      <alignment vertical="center"/>
    </xf>
    <xf numFmtId="41" fontId="17" fillId="6" borderId="16" xfId="4" applyNumberFormat="1" applyFont="1" applyFill="1" applyBorder="1" applyAlignment="1">
      <alignment vertical="center"/>
    </xf>
    <xf numFmtId="41" fontId="24" fillId="10" borderId="0" xfId="4" applyNumberFormat="1" applyFont="1" applyFill="1" applyAlignment="1">
      <alignment vertical="center"/>
    </xf>
    <xf numFmtId="41" fontId="24" fillId="8" borderId="0" xfId="4" applyNumberFormat="1" applyFont="1" applyFill="1" applyAlignment="1">
      <alignment vertical="center"/>
    </xf>
    <xf numFmtId="41" fontId="17" fillId="9" borderId="0" xfId="4" applyNumberFormat="1" applyFont="1" applyFill="1" applyAlignment="1">
      <alignment vertical="center"/>
    </xf>
    <xf numFmtId="0" fontId="28" fillId="6" borderId="0" xfId="7" applyFont="1" applyFill="1" applyAlignment="1">
      <alignment vertical="center"/>
    </xf>
    <xf numFmtId="41" fontId="24" fillId="6" borderId="0" xfId="4" quotePrefix="1" applyNumberFormat="1" applyFont="1" applyFill="1" applyAlignment="1">
      <alignment vertical="center"/>
    </xf>
    <xf numFmtId="49" fontId="24" fillId="6" borderId="0" xfId="4" applyNumberFormat="1" applyFont="1" applyFill="1" applyAlignment="1">
      <alignment horizontal="left" vertical="center" wrapText="1"/>
    </xf>
    <xf numFmtId="41" fontId="24" fillId="10" borderId="16" xfId="5" applyNumberFormat="1" applyFont="1" applyFill="1" applyBorder="1" applyAlignment="1">
      <alignment vertical="center"/>
    </xf>
    <xf numFmtId="41" fontId="24" fillId="8" borderId="16" xfId="5" applyNumberFormat="1" applyFont="1" applyFill="1" applyBorder="1" applyAlignment="1">
      <alignment vertical="center"/>
    </xf>
    <xf numFmtId="41" fontId="24" fillId="6" borderId="16" xfId="5" applyNumberFormat="1" applyFont="1" applyFill="1" applyBorder="1" applyAlignment="1">
      <alignment vertical="center"/>
    </xf>
    <xf numFmtId="41" fontId="17" fillId="9" borderId="16" xfId="5" applyNumberFormat="1" applyFont="1" applyFill="1" applyBorder="1" applyAlignment="1">
      <alignment vertical="center"/>
    </xf>
    <xf numFmtId="41" fontId="20" fillId="6" borderId="16" xfId="6" applyNumberFormat="1" applyFont="1" applyFill="1" applyBorder="1" applyAlignment="1">
      <alignment vertical="center"/>
    </xf>
    <xf numFmtId="41" fontId="24" fillId="6" borderId="0" xfId="9" quotePrefix="1" applyNumberFormat="1" applyFont="1" applyFill="1" applyAlignment="1">
      <alignment vertical="center"/>
    </xf>
    <xf numFmtId="41" fontId="23" fillId="8" borderId="0" xfId="4" applyNumberFormat="1" applyFont="1" applyFill="1" applyAlignment="1">
      <alignment vertical="center"/>
    </xf>
    <xf numFmtId="49" fontId="20" fillId="6" borderId="0" xfId="4" applyNumberFormat="1" applyFont="1" applyFill="1" applyAlignment="1">
      <alignment horizontal="left" vertical="center"/>
    </xf>
    <xf numFmtId="41" fontId="24" fillId="6" borderId="0" xfId="6" applyNumberFormat="1" applyFont="1" applyFill="1" applyAlignment="1">
      <alignment vertical="center"/>
    </xf>
    <xf numFmtId="41" fontId="28" fillId="8" borderId="0" xfId="10" applyNumberFormat="1" applyFont="1" applyFill="1" applyAlignment="1">
      <alignment vertical="center" wrapText="1"/>
    </xf>
    <xf numFmtId="41" fontId="28" fillId="6" borderId="0" xfId="10" applyNumberFormat="1" applyFont="1" applyFill="1" applyAlignment="1">
      <alignment vertical="center" wrapText="1"/>
    </xf>
    <xf numFmtId="41" fontId="23" fillId="10" borderId="0" xfId="4" applyNumberFormat="1" applyFont="1" applyFill="1" applyAlignment="1">
      <alignment vertical="center"/>
    </xf>
    <xf numFmtId="41" fontId="24" fillId="8" borderId="0" xfId="11" applyNumberFormat="1" applyFont="1" applyFill="1" applyAlignment="1">
      <alignment vertical="center"/>
    </xf>
    <xf numFmtId="41" fontId="20" fillId="10" borderId="14" xfId="4" applyNumberFormat="1" applyFont="1" applyFill="1" applyBorder="1" applyAlignment="1">
      <alignment vertical="center"/>
    </xf>
    <xf numFmtId="41" fontId="20" fillId="8" borderId="14" xfId="4" applyNumberFormat="1" applyFont="1" applyFill="1" applyBorder="1" applyAlignment="1">
      <alignment vertical="center"/>
    </xf>
    <xf numFmtId="41" fontId="20" fillId="6" borderId="14" xfId="4" applyNumberFormat="1" applyFont="1" applyFill="1" applyBorder="1" applyAlignment="1">
      <alignment vertical="center"/>
    </xf>
    <xf numFmtId="41" fontId="20" fillId="6" borderId="0" xfId="4" applyNumberFormat="1" applyFont="1" applyFill="1" applyAlignment="1">
      <alignment vertical="center"/>
    </xf>
    <xf numFmtId="41" fontId="17" fillId="9" borderId="14" xfId="5" applyNumberFormat="1" applyFont="1" applyFill="1" applyBorder="1" applyAlignment="1">
      <alignment vertical="center"/>
    </xf>
    <xf numFmtId="41" fontId="17" fillId="6" borderId="0" xfId="4" applyNumberFormat="1" applyFont="1" applyFill="1" applyAlignment="1">
      <alignment vertical="center"/>
    </xf>
    <xf numFmtId="41" fontId="17" fillId="6" borderId="14" xfId="4" applyNumberFormat="1" applyFont="1" applyFill="1" applyBorder="1" applyAlignment="1">
      <alignment vertical="center"/>
    </xf>
    <xf numFmtId="0" fontId="26" fillId="6" borderId="0" xfId="7" applyFont="1" applyFill="1" applyAlignment="1">
      <alignment vertical="center" wrapText="1"/>
    </xf>
    <xf numFmtId="0" fontId="20" fillId="6" borderId="0" xfId="4" applyFont="1" applyFill="1" applyAlignment="1">
      <alignment vertical="center"/>
    </xf>
    <xf numFmtId="41" fontId="29" fillId="6" borderId="0" xfId="4" applyNumberFormat="1" applyFont="1" applyFill="1" applyAlignment="1">
      <alignment vertical="center"/>
    </xf>
    <xf numFmtId="0" fontId="24" fillId="6" borderId="0" xfId="4" applyFont="1" applyFill="1" applyAlignment="1">
      <alignment vertical="center"/>
    </xf>
    <xf numFmtId="167" fontId="23" fillId="6" borderId="0" xfId="4" applyNumberFormat="1" applyFont="1" applyFill="1" applyAlignment="1">
      <alignment vertical="center"/>
    </xf>
    <xf numFmtId="0" fontId="28" fillId="6" borderId="0" xfId="7" applyFont="1" applyFill="1" applyAlignment="1">
      <alignment horizontal="left" vertical="center"/>
    </xf>
    <xf numFmtId="41" fontId="23" fillId="10" borderId="0" xfId="10" applyNumberFormat="1" applyFont="1" applyFill="1" applyAlignment="1">
      <alignment vertical="center"/>
    </xf>
    <xf numFmtId="41" fontId="23" fillId="6" borderId="0" xfId="10" applyNumberFormat="1" applyFont="1" applyFill="1" applyAlignment="1">
      <alignment vertical="center"/>
    </xf>
    <xf numFmtId="41" fontId="23" fillId="8" borderId="0" xfId="10" applyNumberFormat="1" applyFont="1" applyFill="1" applyAlignment="1">
      <alignment vertical="center"/>
    </xf>
    <xf numFmtId="42" fontId="23" fillId="6" borderId="0" xfId="4" quotePrefix="1" applyNumberFormat="1" applyFont="1" applyFill="1" applyAlignment="1">
      <alignment vertical="center"/>
    </xf>
    <xf numFmtId="41" fontId="17" fillId="10" borderId="16" xfId="4" applyNumberFormat="1" applyFont="1" applyFill="1" applyBorder="1" applyAlignment="1">
      <alignment vertical="center"/>
    </xf>
    <xf numFmtId="41" fontId="17" fillId="8" borderId="16" xfId="4" applyNumberFormat="1" applyFont="1" applyFill="1" applyBorder="1" applyAlignment="1">
      <alignment vertical="center"/>
    </xf>
    <xf numFmtId="38" fontId="17" fillId="6" borderId="0" xfId="4" applyNumberFormat="1" applyFont="1" applyFill="1" applyAlignment="1">
      <alignment vertical="center"/>
    </xf>
    <xf numFmtId="41" fontId="17" fillId="10" borderId="17" xfId="4" applyNumberFormat="1" applyFont="1" applyFill="1" applyBorder="1" applyAlignment="1">
      <alignment vertical="center"/>
    </xf>
    <xf numFmtId="41" fontId="17" fillId="8" borderId="17" xfId="4" applyNumberFormat="1" applyFont="1" applyFill="1" applyBorder="1" applyAlignment="1">
      <alignment vertical="center"/>
    </xf>
    <xf numFmtId="41" fontId="17" fillId="6" borderId="17" xfId="4" applyNumberFormat="1" applyFont="1" applyFill="1" applyBorder="1" applyAlignment="1">
      <alignment vertical="center"/>
    </xf>
    <xf numFmtId="41" fontId="17" fillId="9" borderId="17" xfId="4" applyNumberFormat="1" applyFont="1" applyFill="1" applyBorder="1" applyAlignment="1">
      <alignment vertical="center"/>
    </xf>
    <xf numFmtId="9" fontId="17" fillId="9" borderId="0" xfId="12" applyFont="1" applyFill="1" applyAlignment="1">
      <alignment vertical="center"/>
    </xf>
    <xf numFmtId="41" fontId="23" fillId="9" borderId="0" xfId="4" applyNumberFormat="1" applyFont="1" applyFill="1" applyAlignment="1">
      <alignment vertical="center"/>
    </xf>
    <xf numFmtId="0" fontId="24" fillId="6" borderId="0" xfId="4" applyFont="1" applyFill="1" applyAlignment="1">
      <alignment horizontal="left" vertical="center"/>
    </xf>
    <xf numFmtId="41" fontId="23" fillId="10" borderId="14" xfId="4" applyNumberFormat="1" applyFont="1" applyFill="1" applyBorder="1" applyAlignment="1">
      <alignment vertical="center"/>
    </xf>
    <xf numFmtId="41" fontId="23" fillId="8" borderId="14" xfId="4" applyNumberFormat="1" applyFont="1" applyFill="1" applyBorder="1" applyAlignment="1">
      <alignment vertical="center"/>
    </xf>
    <xf numFmtId="41" fontId="23" fillId="6" borderId="14" xfId="4" applyNumberFormat="1" applyFont="1" applyFill="1" applyBorder="1" applyAlignment="1">
      <alignment vertical="center"/>
    </xf>
    <xf numFmtId="41" fontId="18" fillId="6" borderId="0" xfId="4" applyNumberFormat="1" applyFont="1" applyFill="1" applyAlignment="1">
      <alignment vertical="center"/>
    </xf>
    <xf numFmtId="0" fontId="30" fillId="6" borderId="0" xfId="4" applyFont="1" applyFill="1" applyAlignment="1">
      <alignment vertical="center"/>
    </xf>
    <xf numFmtId="0" fontId="31" fillId="6" borderId="0" xfId="4" applyFont="1" applyFill="1" applyAlignment="1">
      <alignment vertical="center"/>
    </xf>
    <xf numFmtId="9" fontId="31" fillId="6" borderId="0" xfId="4" applyNumberFormat="1" applyFont="1" applyFill="1" applyAlignment="1">
      <alignment vertical="center"/>
    </xf>
    <xf numFmtId="41" fontId="31" fillId="6" borderId="0" xfId="4" applyNumberFormat="1" applyFont="1" applyFill="1" applyAlignment="1">
      <alignment vertical="center"/>
    </xf>
    <xf numFmtId="41" fontId="30" fillId="6" borderId="0" xfId="4" applyNumberFormat="1" applyFont="1" applyFill="1" applyAlignment="1">
      <alignment vertical="center"/>
    </xf>
    <xf numFmtId="41" fontId="24" fillId="6" borderId="0" xfId="5" quotePrefix="1" applyNumberFormat="1" applyFont="1" applyFill="1" applyAlignment="1">
      <alignment vertical="center" wrapText="1"/>
    </xf>
    <xf numFmtId="41" fontId="24" fillId="6" borderId="0" xfId="5" applyNumberFormat="1" applyFont="1" applyFill="1" applyAlignment="1">
      <alignment vertical="center" wrapText="1"/>
    </xf>
    <xf numFmtId="41" fontId="18" fillId="6" borderId="0" xfId="5" applyNumberFormat="1" applyFont="1" applyFill="1" applyAlignment="1">
      <alignment vertical="center" wrapText="1"/>
    </xf>
    <xf numFmtId="41" fontId="32" fillId="6" borderId="0" xfId="4" applyNumberFormat="1" applyFont="1" applyFill="1" applyAlignment="1">
      <alignment vertical="center"/>
    </xf>
    <xf numFmtId="41" fontId="32" fillId="6" borderId="0" xfId="4" applyNumberFormat="1" applyFont="1" applyFill="1"/>
    <xf numFmtId="9" fontId="17" fillId="9" borderId="0" xfId="3" applyFont="1" applyFill="1" applyAlignment="1">
      <alignment vertical="center"/>
    </xf>
    <xf numFmtId="43" fontId="0" fillId="12" borderId="0" xfId="2" applyFont="1" applyFill="1"/>
    <xf numFmtId="43" fontId="13" fillId="12" borderId="0" xfId="2" applyFont="1" applyFill="1"/>
    <xf numFmtId="43" fontId="11" fillId="12" borderId="0" xfId="2" applyFont="1" applyFill="1"/>
    <xf numFmtId="8" fontId="6" fillId="5" borderId="3" xfId="0" applyNumberFormat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 wrapText="1"/>
    </xf>
    <xf numFmtId="164" fontId="37" fillId="5" borderId="0" xfId="1" applyNumberFormat="1" applyFont="1" applyFill="1"/>
    <xf numFmtId="41" fontId="24" fillId="11" borderId="0" xfId="6" applyNumberFormat="1" applyFont="1" applyFill="1" applyAlignment="1">
      <alignment vertical="center"/>
    </xf>
    <xf numFmtId="167" fontId="24" fillId="6" borderId="0" xfId="5" applyNumberFormat="1" applyFont="1" applyFill="1" applyAlignment="1">
      <alignment vertical="center"/>
    </xf>
    <xf numFmtId="9" fontId="17" fillId="9" borderId="0" xfId="13" applyFont="1" applyFill="1" applyAlignment="1">
      <alignment vertical="center"/>
    </xf>
    <xf numFmtId="41" fontId="6" fillId="4" borderId="5" xfId="0" applyNumberFormat="1" applyFont="1" applyFill="1" applyBorder="1" applyAlignment="1">
      <alignment vertical="center" wrapText="1"/>
    </xf>
    <xf numFmtId="41" fontId="6" fillId="3" borderId="5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164" fontId="13" fillId="0" borderId="0" xfId="1" applyNumberFormat="1" applyFont="1"/>
    <xf numFmtId="0" fontId="6" fillId="3" borderId="18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8" fontId="6" fillId="5" borderId="19" xfId="0" applyNumberFormat="1" applyFont="1" applyFill="1" applyBorder="1" applyAlignment="1">
      <alignment vertical="center" wrapText="1"/>
    </xf>
    <xf numFmtId="164" fontId="6" fillId="5" borderId="19" xfId="0" applyNumberFormat="1" applyFont="1" applyFill="1" applyBorder="1" applyAlignment="1">
      <alignment vertical="center" wrapText="1"/>
    </xf>
    <xf numFmtId="164" fontId="38" fillId="0" borderId="0" xfId="1" applyNumberFormat="1" applyFont="1"/>
    <xf numFmtId="164" fontId="0" fillId="0" borderId="0" xfId="0" applyNumberFormat="1" applyAlignment="1">
      <alignment horizontal="center"/>
    </xf>
    <xf numFmtId="0" fontId="39" fillId="3" borderId="5" xfId="0" applyFont="1" applyFill="1" applyBorder="1" applyAlignment="1">
      <alignment vertical="center" wrapText="1"/>
    </xf>
    <xf numFmtId="41" fontId="17" fillId="5" borderId="16" xfId="4" applyNumberFormat="1" applyFont="1" applyFill="1" applyBorder="1" applyAlignment="1">
      <alignment vertical="center"/>
    </xf>
    <xf numFmtId="41" fontId="17" fillId="5" borderId="16" xfId="5" applyNumberFormat="1" applyFont="1" applyFill="1" applyBorder="1" applyAlignment="1">
      <alignment vertical="center"/>
    </xf>
    <xf numFmtId="41" fontId="17" fillId="5" borderId="0" xfId="5" applyNumberFormat="1" applyFont="1" applyFill="1" applyAlignment="1">
      <alignment vertical="center"/>
    </xf>
    <xf numFmtId="41" fontId="4" fillId="3" borderId="5" xfId="0" applyNumberFormat="1" applyFont="1" applyFill="1" applyBorder="1" applyAlignment="1">
      <alignment vertical="center" wrapText="1"/>
    </xf>
    <xf numFmtId="41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right"/>
    </xf>
    <xf numFmtId="43" fontId="0" fillId="0" borderId="0" xfId="0" applyNumberFormat="1"/>
    <xf numFmtId="41" fontId="4" fillId="4" borderId="5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8" fontId="6" fillId="4" borderId="1" xfId="0" applyNumberFormat="1" applyFont="1" applyFill="1" applyBorder="1" applyAlignment="1">
      <alignment vertical="center" wrapText="1"/>
    </xf>
    <xf numFmtId="8" fontId="6" fillId="4" borderId="3" xfId="0" applyNumberFormat="1" applyFont="1" applyFill="1" applyBorder="1" applyAlignment="1">
      <alignment vertical="center" wrapText="1"/>
    </xf>
    <xf numFmtId="8" fontId="6" fillId="4" borderId="2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8" fontId="6" fillId="3" borderId="1" xfId="0" applyNumberFormat="1" applyFont="1" applyFill="1" applyBorder="1" applyAlignment="1">
      <alignment vertical="center" wrapText="1"/>
    </xf>
    <xf numFmtId="8" fontId="6" fillId="3" borderId="3" xfId="0" applyNumberFormat="1" applyFont="1" applyFill="1" applyBorder="1" applyAlignment="1">
      <alignment vertical="center" wrapText="1"/>
    </xf>
    <xf numFmtId="8" fontId="6" fillId="3" borderId="2" xfId="0" applyNumberFormat="1" applyFont="1" applyFill="1" applyBorder="1" applyAlignment="1">
      <alignment vertical="center" wrapText="1"/>
    </xf>
    <xf numFmtId="8" fontId="6" fillId="5" borderId="1" xfId="0" applyNumberFormat="1" applyFont="1" applyFill="1" applyBorder="1" applyAlignment="1">
      <alignment vertical="center" wrapText="1"/>
    </xf>
    <xf numFmtId="8" fontId="6" fillId="5" borderId="3" xfId="0" applyNumberFormat="1" applyFont="1" applyFill="1" applyBorder="1" applyAlignment="1">
      <alignment vertical="center" wrapText="1"/>
    </xf>
    <xf numFmtId="8" fontId="6" fillId="5" borderId="2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8" fontId="4" fillId="3" borderId="1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</cellXfs>
  <cellStyles count="14">
    <cellStyle name="Comma" xfId="2" builtinId="3"/>
    <cellStyle name="Comma 2" xfId="8" xr:uid="{CEBF2EB1-6DCF-4526-B089-B98EA9454697}"/>
    <cellStyle name="Comma 2 14" xfId="9" xr:uid="{F6B44B7F-E7C4-4045-A0DC-480716A16BD7}"/>
    <cellStyle name="Currency" xfId="1" builtinId="4"/>
    <cellStyle name="Currency 2" xfId="11" xr:uid="{082A3579-CB08-4445-B0C6-E5599933AD54}"/>
    <cellStyle name="Normal" xfId="0" builtinId="0"/>
    <cellStyle name="Normal 2" xfId="4" xr:uid="{43E97A67-9E07-48F5-88AF-24198E58498F}"/>
    <cellStyle name="Normal 4" xfId="7" xr:uid="{7354C34B-7FAC-4D54-8D13-C358EB9ACB7E}"/>
    <cellStyle name="Percent" xfId="3" builtinId="5"/>
    <cellStyle name="Percent 2" xfId="5" xr:uid="{910688C5-F79C-40F5-A648-58644667CB0D}"/>
    <cellStyle name="Percent 2 2 2" xfId="6" xr:uid="{7E635C6A-4D0A-4831-94F7-75E923D7B2EF}"/>
    <cellStyle name="Percent 3" xfId="10" xr:uid="{EBD3F847-B6DC-43EA-902E-46FD3EA706C1}"/>
    <cellStyle name="Percent 4" xfId="12" xr:uid="{0C468D9E-ECAB-443A-BB71-2209AA4F5605}"/>
    <cellStyle name="Percent 5" xfId="13" xr:uid="{CE32887B-8E85-4598-BF1D-7A865DD88936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236220</xdr:colOff>
      <xdr:row>0</xdr:row>
      <xdr:rowOff>30480</xdr:rowOff>
    </xdr:from>
    <xdr:to>
      <xdr:col>21</xdr:col>
      <xdr:colOff>630987</xdr:colOff>
      <xdr:row>1</xdr:row>
      <xdr:rowOff>58293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AFD22D-3696-45EA-A31D-D4C71ABAC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1860" y="30480"/>
          <a:ext cx="1055802" cy="292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236220</xdr:colOff>
      <xdr:row>0</xdr:row>
      <xdr:rowOff>30480</xdr:rowOff>
    </xdr:from>
    <xdr:to>
      <xdr:col>21</xdr:col>
      <xdr:colOff>629082</xdr:colOff>
      <xdr:row>1</xdr:row>
      <xdr:rowOff>56388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E7D4D9-8DF1-4CF4-8F79-A2B3F2C1F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2820" y="30480"/>
          <a:ext cx="1055802" cy="29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4.bin" /><Relationship Id="rId4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454DF-BFFF-4E79-9BF1-E1C1EC95F181}">
  <dimension ref="A1:O49"/>
  <sheetViews>
    <sheetView zoomScale="90" zoomScaleNormal="90" workbookViewId="0"/>
  </sheetViews>
  <sheetFormatPr defaultColWidth="11.21875" defaultRowHeight="15" x14ac:dyDescent="0.2"/>
  <cols>
    <col min="3" max="3" width="22.1953125" customWidth="1"/>
    <col min="5" max="5" width="14.796875" customWidth="1"/>
    <col min="6" max="6" width="16.02734375" customWidth="1"/>
    <col min="7" max="7" width="16.5234375" customWidth="1"/>
    <col min="8" max="8" width="16.02734375" customWidth="1"/>
    <col min="10" max="10" width="16.15234375" bestFit="1" customWidth="1"/>
    <col min="11" max="11" width="13.19140625" style="19" bestFit="1" customWidth="1"/>
    <col min="12" max="12" width="14.0546875" style="21" bestFit="1" customWidth="1"/>
    <col min="13" max="13" width="15.78125" style="21" bestFit="1" customWidth="1"/>
    <col min="15" max="15" width="26.015625" style="195" customWidth="1"/>
  </cols>
  <sheetData>
    <row r="1" spans="1:15" ht="20.25" x14ac:dyDescent="0.2">
      <c r="A1" s="2" t="s">
        <v>210</v>
      </c>
    </row>
    <row r="2" spans="1:15" ht="21" thickBot="1" x14ac:dyDescent="0.25">
      <c r="A2" s="2" t="s">
        <v>211</v>
      </c>
      <c r="G2">
        <f>G4/I4</f>
        <v>0.17340793954767808</v>
      </c>
      <c r="L2" s="213">
        <f>L3+M3</f>
        <v>4800197.4274288397</v>
      </c>
      <c r="M2" s="21" t="s">
        <v>212</v>
      </c>
    </row>
    <row r="3" spans="1:15" s="28" customFormat="1" ht="18" thickBot="1" x14ac:dyDescent="0.25">
      <c r="A3" s="250" t="s">
        <v>1</v>
      </c>
      <c r="B3" s="251"/>
      <c r="C3" s="250" t="s">
        <v>2</v>
      </c>
      <c r="D3" s="251"/>
      <c r="E3" s="250" t="s">
        <v>3</v>
      </c>
      <c r="F3" s="251"/>
      <c r="G3" s="250" t="s">
        <v>4</v>
      </c>
      <c r="H3" s="251"/>
      <c r="I3" s="250" t="s">
        <v>5</v>
      </c>
      <c r="J3" s="251"/>
      <c r="K3" s="26"/>
      <c r="L3" s="200">
        <f>SUM(L9:L22)</f>
        <v>3033447.4407263398</v>
      </c>
      <c r="M3" s="200">
        <f>SUM(M9:M22)</f>
        <v>1766749.9867025001</v>
      </c>
      <c r="O3" s="196"/>
    </row>
    <row r="4" spans="1:15" ht="18" thickBot="1" x14ac:dyDescent="0.25">
      <c r="A4" s="232">
        <f>F23</f>
        <v>3142588.9477263396</v>
      </c>
      <c r="B4" s="234"/>
      <c r="C4" s="232">
        <f>G23</f>
        <v>825216.13439000014</v>
      </c>
      <c r="D4" s="234"/>
      <c r="E4" s="252">
        <f>H23</f>
        <v>0</v>
      </c>
      <c r="F4" s="253"/>
      <c r="G4" s="232">
        <f>I23</f>
        <v>832392.34531250002</v>
      </c>
      <c r="H4" s="234"/>
      <c r="I4" s="235">
        <f>SUM(A4:H4)</f>
        <v>4800197.4274288397</v>
      </c>
      <c r="J4" s="237"/>
    </row>
    <row r="5" spans="1:15" ht="18" thickBot="1" x14ac:dyDescent="0.25">
      <c r="A5" s="242" t="s">
        <v>6</v>
      </c>
      <c r="B5" s="244"/>
      <c r="C5" s="243"/>
      <c r="D5" s="245" t="s">
        <v>7</v>
      </c>
      <c r="E5" s="246"/>
      <c r="F5" s="246"/>
      <c r="G5" s="247"/>
      <c r="H5" s="245" t="s">
        <v>8</v>
      </c>
      <c r="I5" s="246"/>
      <c r="J5" s="247"/>
      <c r="K5" s="20" t="s">
        <v>48</v>
      </c>
      <c r="L5" s="22" t="s">
        <v>49</v>
      </c>
      <c r="M5" s="22" t="s">
        <v>50</v>
      </c>
      <c r="O5" s="197" t="s">
        <v>203</v>
      </c>
    </row>
    <row r="6" spans="1:15" ht="18" thickBot="1" x14ac:dyDescent="0.25">
      <c r="A6" s="240" t="s">
        <v>6</v>
      </c>
      <c r="B6" s="248"/>
      <c r="C6" s="241"/>
      <c r="D6" s="249">
        <f>L3</f>
        <v>3033447.4407263398</v>
      </c>
      <c r="E6" s="236"/>
      <c r="F6" s="236"/>
      <c r="G6" s="237"/>
      <c r="H6" s="249">
        <f>M3</f>
        <v>1766749.9867025001</v>
      </c>
      <c r="I6" s="236"/>
      <c r="J6" s="237"/>
      <c r="K6" s="214">
        <f>D6+H6</f>
        <v>4800197.4274288397</v>
      </c>
    </row>
    <row r="7" spans="1:15" ht="18" thickBot="1" x14ac:dyDescent="0.25">
      <c r="A7" s="209"/>
      <c r="B7" s="210"/>
      <c r="C7" s="17"/>
      <c r="D7" s="199"/>
      <c r="E7" s="198"/>
      <c r="F7" s="211"/>
      <c r="G7" s="23"/>
      <c r="H7" s="212"/>
      <c r="I7" s="211"/>
      <c r="J7" s="23"/>
    </row>
    <row r="8" spans="1:15" s="28" customFormat="1" ht="31.5" thickBot="1" x14ac:dyDescent="0.25">
      <c r="A8" s="206" t="s">
        <v>9</v>
      </c>
      <c r="B8" s="207" t="s">
        <v>10</v>
      </c>
      <c r="C8" s="207" t="s">
        <v>11</v>
      </c>
      <c r="D8" s="250" t="s">
        <v>12</v>
      </c>
      <c r="E8" s="251"/>
      <c r="F8" s="207" t="s">
        <v>1</v>
      </c>
      <c r="G8" s="207" t="s">
        <v>42</v>
      </c>
      <c r="H8" s="207" t="s">
        <v>3</v>
      </c>
      <c r="I8" s="207" t="s">
        <v>4</v>
      </c>
      <c r="J8" s="207" t="s">
        <v>5</v>
      </c>
      <c r="K8" s="26"/>
      <c r="L8" s="208"/>
      <c r="M8" s="208"/>
      <c r="O8" s="196"/>
    </row>
    <row r="9" spans="1:15" ht="49.5" thickBot="1" x14ac:dyDescent="0.25">
      <c r="A9" s="5">
        <v>1</v>
      </c>
      <c r="B9" s="6">
        <v>1</v>
      </c>
      <c r="C9" s="7" t="s">
        <v>13</v>
      </c>
      <c r="D9" s="240" t="s">
        <v>14</v>
      </c>
      <c r="E9" s="241"/>
      <c r="F9" s="8">
        <f>32500*1.02</f>
        <v>33150</v>
      </c>
      <c r="G9" s="9"/>
      <c r="H9" s="9"/>
      <c r="I9" s="9"/>
      <c r="J9" s="205">
        <f t="shared" ref="J9:J21" si="0">SUM(F9:I9)</f>
        <v>33150</v>
      </c>
      <c r="K9" s="19" t="s">
        <v>43</v>
      </c>
      <c r="L9" s="21">
        <f>IF(K9="y",J9,0)</f>
        <v>33150</v>
      </c>
      <c r="M9" s="21">
        <f t="shared" ref="M9:M21" si="1">IF(K9="n",J9,0)</f>
        <v>0</v>
      </c>
    </row>
    <row r="10" spans="1:15" ht="49.5" thickBot="1" x14ac:dyDescent="0.25">
      <c r="A10" s="10">
        <v>1</v>
      </c>
      <c r="B10" s="11">
        <v>2</v>
      </c>
      <c r="C10" s="12" t="s">
        <v>15</v>
      </c>
      <c r="D10" s="238" t="s">
        <v>16</v>
      </c>
      <c r="E10" s="239"/>
      <c r="F10" s="205">
        <f>'FY22-23 Budget'!S122</f>
        <v>5700</v>
      </c>
      <c r="G10" s="14"/>
      <c r="H10" s="14"/>
      <c r="I10" s="14"/>
      <c r="J10" s="205">
        <f t="shared" si="0"/>
        <v>5700</v>
      </c>
      <c r="K10" s="19" t="s">
        <v>44</v>
      </c>
      <c r="L10" s="21">
        <f t="shared" ref="L10:L21" si="2">IF(K10="y",J10,0)</f>
        <v>0</v>
      </c>
      <c r="M10" s="21">
        <f t="shared" si="1"/>
        <v>5700</v>
      </c>
    </row>
    <row r="11" spans="1:15" ht="49.5" thickBot="1" x14ac:dyDescent="0.25">
      <c r="A11" s="5">
        <v>1</v>
      </c>
      <c r="B11" s="6">
        <v>3</v>
      </c>
      <c r="C11" s="7" t="s">
        <v>13</v>
      </c>
      <c r="D11" s="240" t="s">
        <v>17</v>
      </c>
      <c r="E11" s="241"/>
      <c r="F11" s="205">
        <f>'FY22-23 Budget'!S119+'FY22-23 Budget'!S84+68797</f>
        <v>170197</v>
      </c>
      <c r="G11" s="9"/>
      <c r="H11" s="9"/>
      <c r="I11" s="9"/>
      <c r="J11" s="205">
        <f t="shared" si="0"/>
        <v>170197</v>
      </c>
      <c r="K11" s="19" t="s">
        <v>44</v>
      </c>
      <c r="L11" s="21">
        <f t="shared" si="2"/>
        <v>0</v>
      </c>
      <c r="M11" s="21">
        <f>IF(K11="n",J11,0)</f>
        <v>170197</v>
      </c>
    </row>
    <row r="12" spans="1:15" ht="94.15" customHeight="1" thickBot="1" x14ac:dyDescent="0.25">
      <c r="A12" s="10">
        <v>1</v>
      </c>
      <c r="B12" s="11">
        <v>4</v>
      </c>
      <c r="C12" s="12" t="s">
        <v>15</v>
      </c>
      <c r="D12" s="238" t="s">
        <v>18</v>
      </c>
      <c r="E12" s="239"/>
      <c r="F12" s="205">
        <v>252000</v>
      </c>
      <c r="G12" s="14"/>
      <c r="H12" s="14"/>
      <c r="I12" s="14"/>
      <c r="J12" s="205">
        <f t="shared" si="0"/>
        <v>252000</v>
      </c>
      <c r="K12" s="19" t="s">
        <v>44</v>
      </c>
      <c r="L12" s="21">
        <f t="shared" si="2"/>
        <v>0</v>
      </c>
      <c r="M12" s="21">
        <f t="shared" si="1"/>
        <v>252000</v>
      </c>
    </row>
    <row r="13" spans="1:15" ht="49.5" thickBot="1" x14ac:dyDescent="0.25">
      <c r="A13" s="5">
        <v>1</v>
      </c>
      <c r="B13" s="6">
        <v>5</v>
      </c>
      <c r="C13" s="7" t="s">
        <v>13</v>
      </c>
      <c r="D13" s="240" t="s">
        <v>19</v>
      </c>
      <c r="E13" s="241"/>
      <c r="F13" s="205">
        <f>'FY22-23 Budget'!S62+'FY22-23 Budget'!S64+'FY22-23 Budget'!S80</f>
        <v>2005369.0477263397</v>
      </c>
      <c r="G13" s="9"/>
      <c r="H13" s="9"/>
      <c r="I13" s="9"/>
      <c r="J13" s="205">
        <f t="shared" si="0"/>
        <v>2005369.0477263397</v>
      </c>
      <c r="K13" s="19" t="s">
        <v>43</v>
      </c>
      <c r="L13" s="21">
        <f t="shared" si="2"/>
        <v>2005369.0477263397</v>
      </c>
      <c r="M13" s="21">
        <f t="shared" si="1"/>
        <v>0</v>
      </c>
    </row>
    <row r="14" spans="1:15" ht="49.5" thickBot="1" x14ac:dyDescent="0.25">
      <c r="A14" s="10">
        <v>1</v>
      </c>
      <c r="B14" s="11">
        <v>6</v>
      </c>
      <c r="C14" s="12" t="s">
        <v>15</v>
      </c>
      <c r="D14" s="238" t="s">
        <v>20</v>
      </c>
      <c r="E14" s="239"/>
      <c r="F14" s="13">
        <f>28015*1.02</f>
        <v>28575.3</v>
      </c>
      <c r="G14" s="14"/>
      <c r="H14" s="14"/>
      <c r="I14" s="14"/>
      <c r="J14" s="205">
        <f t="shared" si="0"/>
        <v>28575.3</v>
      </c>
      <c r="K14" s="19" t="s">
        <v>44</v>
      </c>
      <c r="L14" s="21">
        <f t="shared" si="2"/>
        <v>0</v>
      </c>
      <c r="M14" s="21">
        <f t="shared" si="1"/>
        <v>28575.3</v>
      </c>
    </row>
    <row r="15" spans="1:15" ht="46.9" customHeight="1" thickBot="1" x14ac:dyDescent="0.25">
      <c r="A15" s="5">
        <v>3</v>
      </c>
      <c r="B15" s="6">
        <v>1</v>
      </c>
      <c r="C15" s="12" t="s">
        <v>22</v>
      </c>
      <c r="D15" s="240" t="s">
        <v>21</v>
      </c>
      <c r="E15" s="241"/>
      <c r="F15" s="205">
        <f>'FY22-23 Budget'!S117+'FY22-23 Budget'!S104-'FY22-23 Budget'!S111</f>
        <v>107800.00000000012</v>
      </c>
      <c r="G15" s="219">
        <f>'FY22-23 Budget'!S111</f>
        <v>427812.49320000014</v>
      </c>
      <c r="H15" s="9"/>
      <c r="I15" s="9"/>
      <c r="J15" s="205">
        <f t="shared" si="0"/>
        <v>535612.49320000026</v>
      </c>
      <c r="K15" s="19" t="s">
        <v>44</v>
      </c>
      <c r="L15" s="21">
        <f t="shared" si="2"/>
        <v>0</v>
      </c>
      <c r="M15" s="21">
        <f t="shared" si="1"/>
        <v>535612.49320000026</v>
      </c>
    </row>
    <row r="16" spans="1:15" ht="49.5" thickBot="1" x14ac:dyDescent="0.25">
      <c r="A16" s="10">
        <v>3</v>
      </c>
      <c r="B16" s="11">
        <v>2</v>
      </c>
      <c r="C16" s="12" t="s">
        <v>15</v>
      </c>
      <c r="D16" s="238" t="s">
        <v>23</v>
      </c>
      <c r="E16" s="239"/>
      <c r="F16" s="13">
        <v>97650</v>
      </c>
      <c r="G16" s="14"/>
      <c r="H16" s="14"/>
      <c r="I16" s="14"/>
      <c r="J16" s="205">
        <f t="shared" si="0"/>
        <v>97650</v>
      </c>
      <c r="K16" s="19" t="s">
        <v>43</v>
      </c>
      <c r="L16" s="21">
        <f t="shared" si="2"/>
        <v>97650</v>
      </c>
      <c r="M16" s="21">
        <f t="shared" si="1"/>
        <v>0</v>
      </c>
    </row>
    <row r="17" spans="1:15" ht="49.5" thickBot="1" x14ac:dyDescent="0.25">
      <c r="A17" s="5">
        <v>3</v>
      </c>
      <c r="B17" s="6">
        <v>4</v>
      </c>
      <c r="C17" s="7" t="s">
        <v>25</v>
      </c>
      <c r="D17" s="240" t="s">
        <v>24</v>
      </c>
      <c r="E17" s="241"/>
      <c r="F17" s="205"/>
      <c r="G17" s="219">
        <f>'FY22-23 Budget'!S89+53682+70751-I17</f>
        <v>133403.64118999999</v>
      </c>
      <c r="H17" s="9"/>
      <c r="I17" s="219">
        <f>'FY22-23 Budget'!S23</f>
        <v>94774.345312500009</v>
      </c>
      <c r="J17" s="205">
        <f t="shared" si="0"/>
        <v>228177.98650250002</v>
      </c>
      <c r="K17" s="19" t="s">
        <v>209</v>
      </c>
      <c r="L17" s="21">
        <f>53682+70751</f>
        <v>124433</v>
      </c>
      <c r="M17" s="21">
        <f>J17-L17</f>
        <v>103744.98650250002</v>
      </c>
    </row>
    <row r="18" spans="1:15" ht="49.5" thickBot="1" x14ac:dyDescent="0.25">
      <c r="A18" s="10">
        <v>3</v>
      </c>
      <c r="B18" s="11">
        <v>5</v>
      </c>
      <c r="C18" s="12" t="s">
        <v>15</v>
      </c>
      <c r="D18" s="238" t="s">
        <v>26</v>
      </c>
      <c r="E18" s="239"/>
      <c r="F18" s="13">
        <f>22729*1.02</f>
        <v>23183.58</v>
      </c>
      <c r="G18" s="14"/>
      <c r="H18" s="14"/>
      <c r="I18" s="14"/>
      <c r="J18" s="205">
        <f t="shared" si="0"/>
        <v>23183.58</v>
      </c>
      <c r="K18" s="19" t="s">
        <v>43</v>
      </c>
      <c r="L18" s="21">
        <f t="shared" si="2"/>
        <v>23183.58</v>
      </c>
      <c r="M18" s="21">
        <f t="shared" si="1"/>
        <v>0</v>
      </c>
    </row>
    <row r="19" spans="1:15" ht="49.5" thickBot="1" x14ac:dyDescent="0.25">
      <c r="A19" s="5">
        <v>3</v>
      </c>
      <c r="B19" s="6">
        <v>6</v>
      </c>
      <c r="C19" s="7" t="s">
        <v>13</v>
      </c>
      <c r="D19" s="240" t="s">
        <v>27</v>
      </c>
      <c r="E19" s="241"/>
      <c r="F19" s="8">
        <f>8000*1.02</f>
        <v>8160</v>
      </c>
      <c r="G19" s="9"/>
      <c r="H19" s="9"/>
      <c r="I19" s="9"/>
      <c r="J19" s="205">
        <f t="shared" si="0"/>
        <v>8160</v>
      </c>
      <c r="K19" s="19" t="s">
        <v>43</v>
      </c>
      <c r="L19" s="21">
        <f t="shared" si="2"/>
        <v>8160</v>
      </c>
      <c r="M19" s="21">
        <f t="shared" si="1"/>
        <v>0</v>
      </c>
    </row>
    <row r="20" spans="1:15" ht="49.5" thickBot="1" x14ac:dyDescent="0.25">
      <c r="A20" s="10">
        <v>3</v>
      </c>
      <c r="B20" s="11">
        <v>7</v>
      </c>
      <c r="C20" s="12" t="s">
        <v>15</v>
      </c>
      <c r="D20" s="238" t="s">
        <v>28</v>
      </c>
      <c r="E20" s="239"/>
      <c r="F20" s="204">
        <v>0</v>
      </c>
      <c r="G20" s="224">
        <f>'FY22-23 Budget'!S97</f>
        <v>264000</v>
      </c>
      <c r="H20" s="14"/>
      <c r="I20" s="14"/>
      <c r="J20" s="205">
        <f t="shared" si="0"/>
        <v>264000</v>
      </c>
      <c r="K20" s="19" t="s">
        <v>44</v>
      </c>
      <c r="L20" s="21">
        <f t="shared" si="2"/>
        <v>0</v>
      </c>
      <c r="M20" s="21">
        <f t="shared" si="1"/>
        <v>264000</v>
      </c>
    </row>
    <row r="21" spans="1:15" ht="49.5" thickBot="1" x14ac:dyDescent="0.25">
      <c r="A21" s="5">
        <v>3</v>
      </c>
      <c r="B21" s="6">
        <v>9</v>
      </c>
      <c r="C21" s="7" t="s">
        <v>13</v>
      </c>
      <c r="D21" s="240" t="s">
        <v>29</v>
      </c>
      <c r="E21" s="241"/>
      <c r="F21" s="204">
        <f>7500*1.02</f>
        <v>7650</v>
      </c>
      <c r="G21" s="9"/>
      <c r="H21" s="9"/>
      <c r="I21" s="9"/>
      <c r="J21" s="205">
        <f t="shared" si="0"/>
        <v>7650</v>
      </c>
      <c r="K21" s="19" t="s">
        <v>44</v>
      </c>
      <c r="L21" s="21">
        <f t="shared" si="2"/>
        <v>0</v>
      </c>
      <c r="M21" s="21">
        <f t="shared" si="1"/>
        <v>7650</v>
      </c>
    </row>
    <row r="22" spans="1:15" ht="37.15" customHeight="1" thickBot="1" x14ac:dyDescent="0.25">
      <c r="A22" s="5"/>
      <c r="B22" s="6"/>
      <c r="C22" s="215" t="s">
        <v>213</v>
      </c>
      <c r="D22" s="240" t="s">
        <v>214</v>
      </c>
      <c r="E22" s="241"/>
      <c r="F22" s="204">
        <f>1140772.02-I22</f>
        <v>403154.02</v>
      </c>
      <c r="G22" s="9"/>
      <c r="H22" s="9"/>
      <c r="I22" s="204">
        <f>'FY22-23 Budget'!S29</f>
        <v>737618</v>
      </c>
      <c r="J22" s="205">
        <f>SUM(F22:I22)</f>
        <v>1140772.02</v>
      </c>
      <c r="L22" s="21">
        <f>J22*0.65</f>
        <v>741501.81300000008</v>
      </c>
      <c r="M22" s="21">
        <f>0.35*J22</f>
        <v>399270.20699999999</v>
      </c>
      <c r="N22" t="s">
        <v>215</v>
      </c>
    </row>
    <row r="23" spans="1:15" x14ac:dyDescent="0.2">
      <c r="E23" s="221" t="s">
        <v>217</v>
      </c>
      <c r="F23" s="25">
        <f>SUM(F9:F22)</f>
        <v>3142588.9477263396</v>
      </c>
      <c r="G23" s="25">
        <f t="shared" ref="G23:J23" si="3">SUM(G9:G22)</f>
        <v>825216.13439000014</v>
      </c>
      <c r="H23" s="25">
        <f t="shared" si="3"/>
        <v>0</v>
      </c>
      <c r="I23" s="25">
        <f t="shared" si="3"/>
        <v>832392.34531250002</v>
      </c>
      <c r="J23" s="25">
        <f t="shared" si="3"/>
        <v>4800197.4274288397</v>
      </c>
      <c r="O23" s="195">
        <f>SUM(O9:O21)</f>
        <v>0</v>
      </c>
    </row>
    <row r="24" spans="1:15" x14ac:dyDescent="0.2">
      <c r="F24" s="24"/>
    </row>
    <row r="25" spans="1:15" x14ac:dyDescent="0.2">
      <c r="E25" s="222" t="s">
        <v>216</v>
      </c>
      <c r="F25" s="220">
        <f>'FY22-23 Budget'!S19</f>
        <v>3215885.6175364996</v>
      </c>
      <c r="G25" s="220">
        <f>'FY22-23 Budget'!S40</f>
        <v>979048.71889799996</v>
      </c>
      <c r="H25" s="220">
        <f>'FY22-23 Budget'!S50</f>
        <v>0</v>
      </c>
      <c r="I25" s="220">
        <f>'FY22-23 Budget'!S31</f>
        <v>1014018.8453125</v>
      </c>
      <c r="J25" s="223">
        <f>SUM(F25:I25)</f>
        <v>5208953.1817469997</v>
      </c>
    </row>
    <row r="27" spans="1:15" x14ac:dyDescent="0.2">
      <c r="E27" s="221" t="s">
        <v>218</v>
      </c>
      <c r="F27" s="223">
        <f>F25-F23</f>
        <v>73296.669810160063</v>
      </c>
      <c r="G27" s="223">
        <f t="shared" ref="G27:I27" si="4">G25-G23</f>
        <v>153832.58450799983</v>
      </c>
      <c r="H27" s="223">
        <f t="shared" si="4"/>
        <v>0</v>
      </c>
      <c r="I27" s="223">
        <f t="shared" si="4"/>
        <v>181626.5</v>
      </c>
      <c r="J27" s="223">
        <f>SUM(F27:I27)</f>
        <v>408755.75431815989</v>
      </c>
    </row>
    <row r="28" spans="1:15" ht="21" thickBot="1" x14ac:dyDescent="0.25">
      <c r="A28" s="2" t="s">
        <v>30</v>
      </c>
    </row>
    <row r="29" spans="1:15" ht="18" thickBot="1" x14ac:dyDescent="0.25">
      <c r="A29" s="242" t="s">
        <v>31</v>
      </c>
      <c r="B29" s="243"/>
      <c r="C29" s="242" t="s">
        <v>32</v>
      </c>
      <c r="D29" s="244"/>
      <c r="E29" s="243"/>
      <c r="F29" s="242" t="s">
        <v>5</v>
      </c>
      <c r="G29" s="244"/>
      <c r="H29" s="243"/>
    </row>
    <row r="30" spans="1:15" ht="18" thickBot="1" x14ac:dyDescent="0.25">
      <c r="A30" s="230" t="s">
        <v>33</v>
      </c>
      <c r="B30" s="231"/>
      <c r="C30" s="235">
        <f>SUM(G35:G47)</f>
        <v>3659425.4074288402</v>
      </c>
      <c r="D30" s="236"/>
      <c r="E30" s="237"/>
      <c r="F30" s="235">
        <f>SUM(H35:H47)</f>
        <v>3659425.4074288402</v>
      </c>
      <c r="G30" s="236"/>
      <c r="H30" s="237"/>
    </row>
    <row r="31" spans="1:15" ht="18" thickBot="1" x14ac:dyDescent="0.25">
      <c r="A31" s="225" t="s">
        <v>34</v>
      </c>
      <c r="B31" s="226"/>
      <c r="C31" s="227">
        <f>C30</f>
        <v>3659425.4074288402</v>
      </c>
      <c r="D31" s="228"/>
      <c r="E31" s="229"/>
      <c r="F31" s="227">
        <f>F30</f>
        <v>3659425.4074288402</v>
      </c>
      <c r="G31" s="228"/>
      <c r="H31" s="229"/>
    </row>
    <row r="32" spans="1:15" ht="18" thickBot="1" x14ac:dyDescent="0.25">
      <c r="A32" s="230" t="s">
        <v>35</v>
      </c>
      <c r="B32" s="231"/>
      <c r="C32" s="232">
        <v>0</v>
      </c>
      <c r="D32" s="233"/>
      <c r="E32" s="234"/>
      <c r="F32" s="232">
        <v>0</v>
      </c>
      <c r="G32" s="233"/>
      <c r="H32" s="234"/>
    </row>
    <row r="33" spans="1:9" ht="18" thickBot="1" x14ac:dyDescent="0.25">
      <c r="A33" s="225" t="s">
        <v>36</v>
      </c>
      <c r="B33" s="226"/>
      <c r="C33" s="227">
        <v>0</v>
      </c>
      <c r="D33" s="228"/>
      <c r="E33" s="229"/>
      <c r="F33" s="227">
        <v>0</v>
      </c>
      <c r="G33" s="228"/>
      <c r="H33" s="229"/>
    </row>
    <row r="34" spans="1:9" ht="46.5" thickBot="1" x14ac:dyDescent="0.25">
      <c r="A34" s="3" t="s">
        <v>9</v>
      </c>
      <c r="B34" s="4" t="s">
        <v>10</v>
      </c>
      <c r="C34" s="4" t="s">
        <v>37</v>
      </c>
      <c r="D34" s="4" t="s">
        <v>38</v>
      </c>
      <c r="E34" s="4" t="s">
        <v>39</v>
      </c>
      <c r="F34" s="4" t="s">
        <v>40</v>
      </c>
      <c r="G34" s="4" t="s">
        <v>1</v>
      </c>
      <c r="H34" s="4" t="s">
        <v>5</v>
      </c>
    </row>
    <row r="35" spans="1:9" ht="85.15" customHeight="1" thickBot="1" x14ac:dyDescent="0.25">
      <c r="A35" s="5">
        <v>1</v>
      </c>
      <c r="B35" s="6">
        <v>1</v>
      </c>
      <c r="C35" s="17" t="s">
        <v>14</v>
      </c>
      <c r="D35" s="7" t="s">
        <v>41</v>
      </c>
      <c r="E35" s="7" t="s">
        <v>13</v>
      </c>
      <c r="F35" s="9"/>
      <c r="G35" s="8">
        <f t="shared" ref="G35:G47" si="5">J9</f>
        <v>33150</v>
      </c>
      <c r="H35" s="8">
        <f>G35</f>
        <v>33150</v>
      </c>
      <c r="I35" t="s">
        <v>45</v>
      </c>
    </row>
    <row r="36" spans="1:9" ht="64.5" thickBot="1" x14ac:dyDescent="0.25">
      <c r="A36" s="10">
        <v>1</v>
      </c>
      <c r="B36" s="11">
        <v>2</v>
      </c>
      <c r="C36" s="18" t="s">
        <v>16</v>
      </c>
      <c r="D36" s="12" t="s">
        <v>41</v>
      </c>
      <c r="E36" s="12" t="s">
        <v>15</v>
      </c>
      <c r="F36" s="14"/>
      <c r="G36" s="8">
        <f t="shared" si="5"/>
        <v>5700</v>
      </c>
      <c r="H36" s="8">
        <f t="shared" ref="H36:H47" si="6">G36</f>
        <v>5700</v>
      </c>
      <c r="I36" t="s">
        <v>45</v>
      </c>
    </row>
    <row r="37" spans="1:9" ht="64.5" thickBot="1" x14ac:dyDescent="0.25">
      <c r="A37" s="5">
        <v>1</v>
      </c>
      <c r="B37" s="6">
        <v>3</v>
      </c>
      <c r="C37" s="17" t="s">
        <v>17</v>
      </c>
      <c r="D37" s="7" t="s">
        <v>41</v>
      </c>
      <c r="E37" s="7" t="s">
        <v>13</v>
      </c>
      <c r="F37" s="9"/>
      <c r="G37" s="8">
        <f t="shared" si="5"/>
        <v>170197</v>
      </c>
      <c r="H37" s="8">
        <f t="shared" si="6"/>
        <v>170197</v>
      </c>
      <c r="I37" t="s">
        <v>46</v>
      </c>
    </row>
    <row r="38" spans="1:9" ht="76.5" thickBot="1" x14ac:dyDescent="0.25">
      <c r="A38" s="10">
        <v>1</v>
      </c>
      <c r="B38" s="11">
        <v>4</v>
      </c>
      <c r="C38" s="18" t="s">
        <v>18</v>
      </c>
      <c r="D38" s="12" t="s">
        <v>41</v>
      </c>
      <c r="E38" s="12" t="s">
        <v>15</v>
      </c>
      <c r="F38" s="14"/>
      <c r="G38" s="8">
        <f t="shared" si="5"/>
        <v>252000</v>
      </c>
      <c r="H38" s="8">
        <f t="shared" si="6"/>
        <v>252000</v>
      </c>
      <c r="I38" t="s">
        <v>45</v>
      </c>
    </row>
    <row r="39" spans="1:9" ht="85.15" customHeight="1" thickBot="1" x14ac:dyDescent="0.25">
      <c r="A39" s="5">
        <v>1</v>
      </c>
      <c r="B39" s="6">
        <v>5</v>
      </c>
      <c r="C39" s="17" t="s">
        <v>19</v>
      </c>
      <c r="D39" s="7" t="s">
        <v>41</v>
      </c>
      <c r="E39" s="7" t="s">
        <v>13</v>
      </c>
      <c r="F39" s="9"/>
      <c r="G39" s="8">
        <f t="shared" si="5"/>
        <v>2005369.0477263397</v>
      </c>
      <c r="H39" s="8">
        <f t="shared" si="6"/>
        <v>2005369.0477263397</v>
      </c>
      <c r="I39" t="s">
        <v>45</v>
      </c>
    </row>
    <row r="40" spans="1:9" ht="64.5" thickBot="1" x14ac:dyDescent="0.25">
      <c r="A40" s="10">
        <v>1</v>
      </c>
      <c r="B40" s="11">
        <v>6</v>
      </c>
      <c r="C40" s="18" t="s">
        <v>20</v>
      </c>
      <c r="D40" s="12" t="s">
        <v>41</v>
      </c>
      <c r="E40" s="12" t="s">
        <v>15</v>
      </c>
      <c r="F40" s="14"/>
      <c r="G40" s="8">
        <f t="shared" si="5"/>
        <v>28575.3</v>
      </c>
      <c r="H40" s="8">
        <f t="shared" si="6"/>
        <v>28575.3</v>
      </c>
      <c r="I40" t="s">
        <v>45</v>
      </c>
    </row>
    <row r="41" spans="1:9" ht="64.5" thickBot="1" x14ac:dyDescent="0.25">
      <c r="A41" s="5">
        <v>3</v>
      </c>
      <c r="B41" s="6">
        <v>1</v>
      </c>
      <c r="C41" s="17" t="s">
        <v>21</v>
      </c>
      <c r="D41" s="7" t="s">
        <v>41</v>
      </c>
      <c r="E41" s="7" t="s">
        <v>13</v>
      </c>
      <c r="F41" s="17"/>
      <c r="G41" s="8">
        <f t="shared" si="5"/>
        <v>535612.49320000026</v>
      </c>
      <c r="H41" s="8">
        <f t="shared" si="6"/>
        <v>535612.49320000026</v>
      </c>
      <c r="I41" t="s">
        <v>47</v>
      </c>
    </row>
    <row r="42" spans="1:9" ht="64.5" thickBot="1" x14ac:dyDescent="0.25">
      <c r="A42" s="10">
        <v>3</v>
      </c>
      <c r="B42" s="11">
        <v>2</v>
      </c>
      <c r="C42" s="18" t="s">
        <v>23</v>
      </c>
      <c r="D42" s="12" t="s">
        <v>41</v>
      </c>
      <c r="E42" s="12" t="s">
        <v>15</v>
      </c>
      <c r="F42" s="14"/>
      <c r="G42" s="8">
        <f t="shared" si="5"/>
        <v>97650</v>
      </c>
      <c r="H42" s="8">
        <f t="shared" si="6"/>
        <v>97650</v>
      </c>
      <c r="I42" t="s">
        <v>45</v>
      </c>
    </row>
    <row r="43" spans="1:9" ht="64.5" thickBot="1" x14ac:dyDescent="0.25">
      <c r="A43" s="5">
        <v>3</v>
      </c>
      <c r="B43" s="6">
        <v>4</v>
      </c>
      <c r="C43" s="17" t="s">
        <v>24</v>
      </c>
      <c r="D43" s="7" t="s">
        <v>41</v>
      </c>
      <c r="E43" s="7" t="s">
        <v>13</v>
      </c>
      <c r="F43" s="9"/>
      <c r="G43" s="8">
        <f t="shared" si="5"/>
        <v>228177.98650250002</v>
      </c>
      <c r="H43" s="8">
        <f t="shared" si="6"/>
        <v>228177.98650250002</v>
      </c>
      <c r="I43" t="s">
        <v>51</v>
      </c>
    </row>
    <row r="44" spans="1:9" ht="64.5" thickBot="1" x14ac:dyDescent="0.25">
      <c r="A44" s="10">
        <v>3</v>
      </c>
      <c r="B44" s="11">
        <v>5</v>
      </c>
      <c r="C44" s="18" t="s">
        <v>26</v>
      </c>
      <c r="D44" s="12" t="s">
        <v>41</v>
      </c>
      <c r="E44" s="12" t="s">
        <v>15</v>
      </c>
      <c r="F44" s="14"/>
      <c r="G44" s="8">
        <f t="shared" si="5"/>
        <v>23183.58</v>
      </c>
      <c r="H44" s="8">
        <f t="shared" si="6"/>
        <v>23183.58</v>
      </c>
      <c r="I44" t="s">
        <v>45</v>
      </c>
    </row>
    <row r="45" spans="1:9" ht="64.5" thickBot="1" x14ac:dyDescent="0.25">
      <c r="A45" s="5">
        <v>3</v>
      </c>
      <c r="B45" s="6">
        <v>6</v>
      </c>
      <c r="C45" s="17" t="s">
        <v>27</v>
      </c>
      <c r="D45" s="7" t="s">
        <v>41</v>
      </c>
      <c r="E45" s="7" t="s">
        <v>13</v>
      </c>
      <c r="F45" s="17"/>
      <c r="G45" s="8">
        <f t="shared" si="5"/>
        <v>8160</v>
      </c>
      <c r="H45" s="8">
        <f t="shared" si="6"/>
        <v>8160</v>
      </c>
      <c r="I45" t="s">
        <v>45</v>
      </c>
    </row>
    <row r="46" spans="1:9" ht="64.5" thickBot="1" x14ac:dyDescent="0.25">
      <c r="A46" s="10">
        <v>3</v>
      </c>
      <c r="B46" s="11">
        <v>7</v>
      </c>
      <c r="C46" s="18" t="s">
        <v>28</v>
      </c>
      <c r="D46" s="12" t="s">
        <v>41</v>
      </c>
      <c r="E46" s="12" t="s">
        <v>15</v>
      </c>
      <c r="F46" s="14"/>
      <c r="G46" s="8">
        <f t="shared" si="5"/>
        <v>264000</v>
      </c>
      <c r="H46" s="8">
        <f t="shared" si="6"/>
        <v>264000</v>
      </c>
      <c r="I46" t="s">
        <v>45</v>
      </c>
    </row>
    <row r="47" spans="1:9" ht="64.5" thickBot="1" x14ac:dyDescent="0.25">
      <c r="A47" s="5">
        <v>3</v>
      </c>
      <c r="B47" s="6">
        <v>9</v>
      </c>
      <c r="C47" s="17" t="s">
        <v>29</v>
      </c>
      <c r="D47" s="7" t="s">
        <v>41</v>
      </c>
      <c r="E47" s="7" t="s">
        <v>13</v>
      </c>
      <c r="F47" s="17"/>
      <c r="G47" s="8">
        <f t="shared" si="5"/>
        <v>7650</v>
      </c>
      <c r="H47" s="8">
        <f t="shared" si="6"/>
        <v>7650</v>
      </c>
      <c r="I47" t="s">
        <v>45</v>
      </c>
    </row>
    <row r="49" spans="1:8" x14ac:dyDescent="0.2">
      <c r="A49" s="1"/>
      <c r="G49" s="25">
        <f>SUM(G35:G48)</f>
        <v>3659425.4074288402</v>
      </c>
      <c r="H49" s="25">
        <f>SUM(H35:H48)</f>
        <v>3659425.4074288402</v>
      </c>
    </row>
  </sheetData>
  <mergeCells count="46"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D13:E13"/>
    <mergeCell ref="A5:C5"/>
    <mergeCell ref="D5:G5"/>
    <mergeCell ref="H5:J5"/>
    <mergeCell ref="A6:C6"/>
    <mergeCell ref="D6:G6"/>
    <mergeCell ref="H6:J6"/>
    <mergeCell ref="D8:E8"/>
    <mergeCell ref="D9:E9"/>
    <mergeCell ref="D10:E10"/>
    <mergeCell ref="D11:E11"/>
    <mergeCell ref="D12:E12"/>
    <mergeCell ref="A30:B30"/>
    <mergeCell ref="C30:E30"/>
    <mergeCell ref="F30:H30"/>
    <mergeCell ref="D14:E14"/>
    <mergeCell ref="D15:E15"/>
    <mergeCell ref="D16:E16"/>
    <mergeCell ref="D17:E17"/>
    <mergeCell ref="D18:E18"/>
    <mergeCell ref="D19:E19"/>
    <mergeCell ref="D22:E22"/>
    <mergeCell ref="D20:E20"/>
    <mergeCell ref="D21:E21"/>
    <mergeCell ref="A29:B29"/>
    <mergeCell ref="C29:E29"/>
    <mergeCell ref="F29:H29"/>
    <mergeCell ref="A33:B33"/>
    <mergeCell ref="C33:E33"/>
    <mergeCell ref="F33:H33"/>
    <mergeCell ref="A31:B31"/>
    <mergeCell ref="C31:E31"/>
    <mergeCell ref="F31:H31"/>
    <mergeCell ref="A32:B32"/>
    <mergeCell ref="C32:E32"/>
    <mergeCell ref="F32:H3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8720-AA10-438B-B86B-170539422363}">
  <dimension ref="A1:AE189"/>
  <sheetViews>
    <sheetView zoomScaleNormal="100" zoomScaleSheetLayoutView="100" workbookViewId="0">
      <pane xSplit="4" ySplit="4" topLeftCell="E5" activePane="bottomRight" state="frozen"/>
      <selection activeCell="E157" sqref="E157:S157"/>
      <selection pane="bottomLeft" activeCell="E157" sqref="E157:S157"/>
      <selection pane="topRight" activeCell="E157" sqref="E157:S157"/>
      <selection pane="bottomRight" activeCell="N103" sqref="N103"/>
    </sheetView>
  </sheetViews>
  <sheetFormatPr defaultColWidth="8.01171875" defaultRowHeight="11.25" x14ac:dyDescent="0.15"/>
  <cols>
    <col min="1" max="1" width="2.21875" style="30" customWidth="1"/>
    <col min="2" max="2" width="1.4765625" style="30" customWidth="1"/>
    <col min="3" max="3" width="4.80859375" style="40" customWidth="1"/>
    <col min="4" max="4" width="20.34375" style="40" customWidth="1"/>
    <col min="5" max="17" width="7.765625" style="42" customWidth="1"/>
    <col min="18" max="18" width="1.4765625" style="42" customWidth="1"/>
    <col min="19" max="19" width="8.75390625" style="37" customWidth="1"/>
    <col min="20" max="20" width="1.72265625" style="42" customWidth="1"/>
    <col min="21" max="22" width="8.75390625" style="42" customWidth="1"/>
    <col min="23" max="23" width="1.72265625" style="40" customWidth="1"/>
    <col min="24" max="25" width="8.75390625" style="42" customWidth="1"/>
    <col min="26" max="16384" width="8.01171875" style="40"/>
  </cols>
  <sheetData>
    <row r="1" spans="1:25" s="30" customFormat="1" ht="21" x14ac:dyDescent="0.3">
      <c r="A1" s="29" t="s">
        <v>208</v>
      </c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  <c r="P1" s="32"/>
      <c r="Q1" s="32"/>
      <c r="R1" s="32"/>
      <c r="S1" s="33"/>
      <c r="T1" s="32"/>
      <c r="U1" s="31"/>
      <c r="V1" s="31"/>
      <c r="X1" s="31"/>
      <c r="Y1" s="31"/>
    </row>
    <row r="2" spans="1:25" s="30" customFormat="1" ht="15" x14ac:dyDescent="0.2">
      <c r="A2" s="34" t="s">
        <v>204</v>
      </c>
      <c r="B2" s="35"/>
      <c r="C2" s="35"/>
      <c r="D2" s="35"/>
      <c r="E2" s="36"/>
      <c r="F2" s="31"/>
      <c r="G2" s="31"/>
      <c r="H2" s="31"/>
      <c r="I2" s="31"/>
      <c r="J2" s="31"/>
      <c r="M2" s="37"/>
      <c r="N2" s="31"/>
      <c r="O2" s="31"/>
      <c r="R2" s="37"/>
      <c r="S2" s="37"/>
      <c r="U2" s="38"/>
      <c r="V2" s="38"/>
      <c r="X2" s="38"/>
      <c r="Y2" s="38"/>
    </row>
    <row r="3" spans="1:25" ht="13.5" customHeight="1" x14ac:dyDescent="0.2">
      <c r="A3" s="39" t="s">
        <v>205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7"/>
      <c r="S3" s="41"/>
      <c r="U3" s="43"/>
      <c r="V3" s="43"/>
      <c r="X3" s="43"/>
      <c r="Y3" s="43"/>
    </row>
    <row r="4" spans="1:25" s="44" customFormat="1" ht="29.45" customHeight="1" x14ac:dyDescent="0.15">
      <c r="C4" s="45" t="s">
        <v>54</v>
      </c>
      <c r="D4" s="46">
        <v>256.5</v>
      </c>
      <c r="E4" s="47">
        <v>44743</v>
      </c>
      <c r="F4" s="47">
        <f t="shared" ref="F4:P4" si="0">E4+31</f>
        <v>44774</v>
      </c>
      <c r="G4" s="47">
        <f t="shared" si="0"/>
        <v>44805</v>
      </c>
      <c r="H4" s="47">
        <f t="shared" si="0"/>
        <v>44836</v>
      </c>
      <c r="I4" s="47">
        <f t="shared" si="0"/>
        <v>44867</v>
      </c>
      <c r="J4" s="47">
        <f t="shared" si="0"/>
        <v>44898</v>
      </c>
      <c r="K4" s="47">
        <f t="shared" si="0"/>
        <v>44929</v>
      </c>
      <c r="L4" s="47">
        <f t="shared" si="0"/>
        <v>44960</v>
      </c>
      <c r="M4" s="47">
        <f t="shared" si="0"/>
        <v>44991</v>
      </c>
      <c r="N4" s="47">
        <f t="shared" si="0"/>
        <v>45022</v>
      </c>
      <c r="O4" s="47">
        <f t="shared" si="0"/>
        <v>45053</v>
      </c>
      <c r="P4" s="47">
        <f t="shared" si="0"/>
        <v>45084</v>
      </c>
      <c r="Q4" s="48" t="s">
        <v>55</v>
      </c>
      <c r="R4" s="49"/>
      <c r="S4" s="50" t="s">
        <v>57</v>
      </c>
      <c r="T4" s="51"/>
      <c r="U4" s="52" t="s">
        <v>206</v>
      </c>
      <c r="V4" s="52" t="s">
        <v>58</v>
      </c>
      <c r="X4" s="53" t="s">
        <v>59</v>
      </c>
      <c r="Y4" s="53" t="s">
        <v>58</v>
      </c>
    </row>
    <row r="5" spans="1:25" s="66" customFormat="1" ht="12" customHeight="1" x14ac:dyDescent="0.15">
      <c r="A5" s="54" t="s">
        <v>60</v>
      </c>
      <c r="B5" s="55"/>
      <c r="C5" s="56"/>
      <c r="D5" s="56"/>
      <c r="E5" s="57">
        <v>0</v>
      </c>
      <c r="F5" s="58">
        <v>0.05</v>
      </c>
      <c r="G5" s="58">
        <v>0.05</v>
      </c>
      <c r="H5" s="58">
        <v>0.09</v>
      </c>
      <c r="I5" s="58">
        <v>0.09</v>
      </c>
      <c r="J5" s="58">
        <v>0.09</v>
      </c>
      <c r="K5" s="59">
        <v>0.09</v>
      </c>
      <c r="L5" s="60">
        <v>0.09</v>
      </c>
      <c r="M5" s="61">
        <v>0.19999999999999998</v>
      </c>
      <c r="N5" s="59">
        <v>0.19999999999999998</v>
      </c>
      <c r="O5" s="59">
        <v>0.19999999999999998</v>
      </c>
      <c r="P5" s="59">
        <v>0.19999999999999998</v>
      </c>
      <c r="Q5" s="62">
        <v>0.2</v>
      </c>
      <c r="R5" s="63"/>
      <c r="S5" s="64"/>
      <c r="T5" s="31"/>
      <c r="U5" s="65"/>
      <c r="V5" s="65"/>
      <c r="X5" s="65"/>
      <c r="Y5" s="65"/>
    </row>
    <row r="6" spans="1:25" s="66" customFormat="1" ht="12" customHeight="1" x14ac:dyDescent="0.2">
      <c r="A6" s="54" t="s">
        <v>61</v>
      </c>
      <c r="B6" s="55"/>
      <c r="C6" s="56"/>
      <c r="D6" s="56"/>
      <c r="E6" s="67">
        <v>0</v>
      </c>
      <c r="F6" s="68">
        <v>0</v>
      </c>
      <c r="G6" s="68">
        <v>0</v>
      </c>
      <c r="H6" s="68">
        <v>0.37</v>
      </c>
      <c r="I6" s="68">
        <v>0</v>
      </c>
      <c r="J6" s="68">
        <v>0</v>
      </c>
      <c r="K6" s="68">
        <v>0.18</v>
      </c>
      <c r="L6" s="69">
        <v>0</v>
      </c>
      <c r="M6" s="70" t="s">
        <v>62</v>
      </c>
      <c r="N6" s="71" t="s">
        <v>62</v>
      </c>
      <c r="O6" s="71" t="s">
        <v>62</v>
      </c>
      <c r="P6" s="72" t="s">
        <v>62</v>
      </c>
      <c r="Q6" s="73" t="s">
        <v>62</v>
      </c>
      <c r="R6" s="63"/>
      <c r="S6" s="64"/>
      <c r="T6" s="74"/>
      <c r="U6" s="75"/>
      <c r="V6" s="75"/>
      <c r="X6" s="75"/>
      <c r="Y6" s="75"/>
    </row>
    <row r="7" spans="1:25" s="82" customFormat="1" ht="12" customHeight="1" x14ac:dyDescent="0.2">
      <c r="A7" s="54" t="s">
        <v>63</v>
      </c>
      <c r="B7" s="76"/>
      <c r="C7" s="77"/>
      <c r="D7" s="77"/>
      <c r="E7" s="78">
        <v>0</v>
      </c>
      <c r="F7" s="79">
        <v>0.06</v>
      </c>
      <c r="G7" s="79">
        <v>0.12</v>
      </c>
      <c r="H7" s="79">
        <v>0.08</v>
      </c>
      <c r="I7" s="79">
        <v>0.08</v>
      </c>
      <c r="J7" s="79">
        <v>0.08</v>
      </c>
      <c r="K7" s="79">
        <v>0.08</v>
      </c>
      <c r="L7" s="80">
        <v>0.08</v>
      </c>
      <c r="M7" s="70">
        <v>0.33333333333333331</v>
      </c>
      <c r="N7" s="71">
        <v>0.16666666666666666</v>
      </c>
      <c r="O7" s="71">
        <v>0.16666666666666666</v>
      </c>
      <c r="P7" s="71">
        <v>0.16666666666666666</v>
      </c>
      <c r="Q7" s="73">
        <f>1-SUM(M7:P7)</f>
        <v>0.16666666666666674</v>
      </c>
      <c r="R7" s="81"/>
      <c r="S7" s="64"/>
      <c r="U7" s="83"/>
      <c r="V7" s="83"/>
      <c r="X7" s="83"/>
      <c r="Y7" s="83"/>
    </row>
    <row r="8" spans="1:25" s="82" customFormat="1" ht="12" customHeight="1" x14ac:dyDescent="0.2">
      <c r="A8" s="54" t="s">
        <v>64</v>
      </c>
      <c r="B8" s="76"/>
      <c r="C8" s="77"/>
      <c r="D8" s="77"/>
      <c r="E8" s="78">
        <v>0</v>
      </c>
      <c r="F8" s="79">
        <v>0</v>
      </c>
      <c r="G8" s="79">
        <v>0</v>
      </c>
      <c r="H8" s="79">
        <v>0.26</v>
      </c>
      <c r="I8" s="79">
        <v>0.08</v>
      </c>
      <c r="J8" s="79">
        <v>0.08</v>
      </c>
      <c r="K8" s="79">
        <v>0.08</v>
      </c>
      <c r="L8" s="80">
        <v>0.08</v>
      </c>
      <c r="M8" s="70" t="s">
        <v>62</v>
      </c>
      <c r="N8" s="71" t="s">
        <v>62</v>
      </c>
      <c r="O8" s="71" t="s">
        <v>62</v>
      </c>
      <c r="P8" s="72" t="s">
        <v>62</v>
      </c>
      <c r="Q8" s="73" t="s">
        <v>62</v>
      </c>
      <c r="R8" s="81"/>
      <c r="S8" s="64"/>
      <c r="U8" s="83"/>
      <c r="V8" s="83"/>
      <c r="X8" s="83"/>
      <c r="Y8" s="83"/>
    </row>
    <row r="9" spans="1:25" s="82" customFormat="1" ht="12" customHeight="1" x14ac:dyDescent="0.2">
      <c r="A9" s="54" t="s">
        <v>65</v>
      </c>
      <c r="B9" s="55"/>
      <c r="C9" s="77"/>
      <c r="D9" s="77"/>
      <c r="E9" s="84">
        <v>0</v>
      </c>
      <c r="F9" s="85">
        <v>0.05</v>
      </c>
      <c r="G9" s="85">
        <v>0.05</v>
      </c>
      <c r="H9" s="85">
        <v>0.09</v>
      </c>
      <c r="I9" s="85">
        <v>0.09</v>
      </c>
      <c r="J9" s="85">
        <v>0.09</v>
      </c>
      <c r="K9" s="85">
        <v>0.09</v>
      </c>
      <c r="L9" s="86">
        <v>0.09</v>
      </c>
      <c r="M9" s="87">
        <v>0.2</v>
      </c>
      <c r="N9" s="88">
        <v>0.19999999999999998</v>
      </c>
      <c r="O9" s="88">
        <v>0.19999999999999998</v>
      </c>
      <c r="P9" s="88">
        <v>0.19999999999999998</v>
      </c>
      <c r="Q9" s="89">
        <v>0.19999999999999998</v>
      </c>
      <c r="R9" s="63"/>
      <c r="S9" s="64"/>
      <c r="U9" s="75"/>
      <c r="V9" s="75"/>
      <c r="X9" s="75"/>
      <c r="Y9" s="75"/>
    </row>
    <row r="10" spans="1:25" s="94" customFormat="1" ht="12" customHeight="1" x14ac:dyDescent="0.2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54"/>
      <c r="M10" s="54"/>
      <c r="N10" s="54"/>
      <c r="O10" s="54"/>
      <c r="P10" s="54"/>
      <c r="Q10" s="92"/>
      <c r="R10" s="54"/>
      <c r="S10" s="93"/>
      <c r="T10" s="54"/>
    </row>
    <row r="11" spans="1:25" s="94" customFormat="1" ht="12" customHeight="1" x14ac:dyDescent="0.2">
      <c r="A11" s="95" t="s">
        <v>66</v>
      </c>
      <c r="B11" s="95"/>
      <c r="C11" s="96"/>
      <c r="D11" s="97"/>
      <c r="E11" s="123"/>
      <c r="F11" s="123"/>
      <c r="G11" s="123"/>
      <c r="H11" s="123"/>
      <c r="I11" s="123"/>
      <c r="J11" s="123"/>
      <c r="K11" s="123"/>
      <c r="L11" s="100"/>
      <c r="M11" s="100"/>
      <c r="N11" s="100"/>
      <c r="O11" s="100"/>
      <c r="P11" s="100"/>
      <c r="Q11" s="99"/>
      <c r="R11" s="100"/>
      <c r="S11" s="101"/>
      <c r="T11" s="100"/>
      <c r="U11" s="102" t="s">
        <v>54</v>
      </c>
      <c r="V11" s="46">
        <v>256.5</v>
      </c>
      <c r="X11" s="102" t="s">
        <v>54</v>
      </c>
      <c r="Y11" s="46">
        <v>230.67780000000002</v>
      </c>
    </row>
    <row r="12" spans="1:25" s="94" customFormat="1" ht="12" customHeight="1" x14ac:dyDescent="0.2">
      <c r="A12" s="95"/>
      <c r="B12" s="95" t="s">
        <v>67</v>
      </c>
      <c r="C12" s="96"/>
      <c r="D12" s="97"/>
      <c r="E12" s="123"/>
      <c r="F12" s="123"/>
      <c r="G12" s="123"/>
      <c r="H12" s="123"/>
      <c r="I12" s="123"/>
      <c r="J12" s="123"/>
      <c r="K12" s="123"/>
      <c r="L12" s="104"/>
      <c r="M12" s="104"/>
      <c r="N12" s="104"/>
      <c r="O12" s="104"/>
      <c r="P12" s="104"/>
      <c r="Q12" s="103"/>
      <c r="R12" s="104"/>
      <c r="S12" s="105"/>
      <c r="T12" s="104"/>
    </row>
    <row r="13" spans="1:25" s="94" customFormat="1" ht="12" hidden="1" customHeight="1" x14ac:dyDescent="0.2">
      <c r="A13" s="106"/>
      <c r="B13" s="106"/>
      <c r="C13" s="106"/>
      <c r="D13" s="107" t="s">
        <v>68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0"/>
      <c r="N13" s="110"/>
      <c r="O13" s="110"/>
      <c r="P13" s="110"/>
      <c r="Q13" s="109"/>
      <c r="R13" s="111"/>
      <c r="S13" s="112">
        <f>SUM(E13:Q13)</f>
        <v>0</v>
      </c>
      <c r="T13" s="110"/>
      <c r="U13" s="111">
        <f t="shared" ref="U13:U18" si="1">S13</f>
        <v>0</v>
      </c>
      <c r="V13" s="111">
        <f t="shared" ref="V13:V18" si="2">S13-U13</f>
        <v>0</v>
      </c>
      <c r="X13" s="111"/>
      <c r="Y13" s="111"/>
    </row>
    <row r="14" spans="1:25" s="119" customFormat="1" ht="12" hidden="1" customHeight="1" x14ac:dyDescent="0.2">
      <c r="A14" s="106"/>
      <c r="B14" s="106"/>
      <c r="C14" s="106"/>
      <c r="D14" s="107" t="s">
        <v>69</v>
      </c>
      <c r="E14" s="201">
        <v>0</v>
      </c>
      <c r="F14" s="201">
        <v>106613.41834921291</v>
      </c>
      <c r="G14" s="201">
        <v>106613.41834921291</v>
      </c>
      <c r="H14" s="201">
        <v>191904.15302858321</v>
      </c>
      <c r="I14" s="201">
        <v>191904.15302858321</v>
      </c>
      <c r="J14" s="201">
        <v>191904.15302858321</v>
      </c>
      <c r="K14" s="201">
        <v>191904.15302858321</v>
      </c>
      <c r="L14" s="201">
        <v>191904.15302858321</v>
      </c>
      <c r="M14" s="116">
        <v>239641.61213903155</v>
      </c>
      <c r="N14" s="116">
        <v>239641.61213903155</v>
      </c>
      <c r="O14" s="116">
        <v>239641.61213903155</v>
      </c>
      <c r="P14" s="116">
        <v>239641.61213903155</v>
      </c>
      <c r="Q14" s="115">
        <v>239642.61213903176</v>
      </c>
      <c r="R14" s="117"/>
      <c r="S14" s="112">
        <f>SUM(E14:Q14)</f>
        <v>2370956.6625364996</v>
      </c>
      <c r="T14" s="118"/>
      <c r="U14" s="111">
        <f t="shared" si="1"/>
        <v>2370956.6625364996</v>
      </c>
      <c r="V14" s="111">
        <f t="shared" si="2"/>
        <v>0</v>
      </c>
      <c r="W14" s="94"/>
      <c r="X14" s="111"/>
      <c r="Y14" s="111"/>
    </row>
    <row r="15" spans="1:25" s="119" customFormat="1" ht="12" customHeight="1" x14ac:dyDescent="0.2">
      <c r="A15" s="120"/>
      <c r="B15" s="120" t="s">
        <v>70</v>
      </c>
      <c r="C15" s="121">
        <v>8011</v>
      </c>
      <c r="D15" s="122" t="s">
        <v>60</v>
      </c>
      <c r="E15" s="123">
        <f t="shared" ref="E15:Q15" si="3">SUM(E13:E14)</f>
        <v>0</v>
      </c>
      <c r="F15" s="123">
        <f t="shared" si="3"/>
        <v>106613.41834921291</v>
      </c>
      <c r="G15" s="123">
        <f t="shared" si="3"/>
        <v>106613.41834921291</v>
      </c>
      <c r="H15" s="123">
        <f t="shared" si="3"/>
        <v>191904.15302858321</v>
      </c>
      <c r="I15" s="123">
        <f t="shared" si="3"/>
        <v>191904.15302858321</v>
      </c>
      <c r="J15" s="123">
        <f t="shared" si="3"/>
        <v>191904.15302858321</v>
      </c>
      <c r="K15" s="123">
        <f t="shared" si="3"/>
        <v>191904.15302858321</v>
      </c>
      <c r="L15" s="123">
        <f t="shared" si="3"/>
        <v>191904.15302858321</v>
      </c>
      <c r="M15" s="123">
        <f t="shared" si="3"/>
        <v>239641.61213903155</v>
      </c>
      <c r="N15" s="123">
        <f t="shared" si="3"/>
        <v>239641.61213903155</v>
      </c>
      <c r="O15" s="123">
        <f t="shared" si="3"/>
        <v>239641.61213903155</v>
      </c>
      <c r="P15" s="123">
        <f t="shared" si="3"/>
        <v>239641.61213903155</v>
      </c>
      <c r="Q15" s="108">
        <f t="shared" si="3"/>
        <v>239642.61213903176</v>
      </c>
      <c r="R15" s="123"/>
      <c r="S15" s="124">
        <f>SUM(E15:Q15)</f>
        <v>2370956.6625364996</v>
      </c>
      <c r="T15" s="123"/>
      <c r="U15" s="125">
        <f t="shared" si="1"/>
        <v>2370956.6625364996</v>
      </c>
      <c r="V15" s="125">
        <f t="shared" si="2"/>
        <v>0</v>
      </c>
      <c r="W15" s="94"/>
      <c r="X15" s="125">
        <v>1960421.0813372629</v>
      </c>
      <c r="Y15" s="125">
        <f t="shared" ref="Y15:Y18" si="4">S15-X15</f>
        <v>410535.58119923668</v>
      </c>
    </row>
    <row r="16" spans="1:25" s="119" customFormat="1" ht="12" customHeight="1" x14ac:dyDescent="0.2">
      <c r="A16" s="120"/>
      <c r="B16" s="120" t="s">
        <v>70</v>
      </c>
      <c r="C16" s="121">
        <v>8012</v>
      </c>
      <c r="D16" s="126" t="s">
        <v>71</v>
      </c>
      <c r="E16" s="123">
        <v>0</v>
      </c>
      <c r="F16" s="123">
        <v>0</v>
      </c>
      <c r="G16" s="123">
        <v>0</v>
      </c>
      <c r="H16" s="123">
        <v>12825</v>
      </c>
      <c r="I16" s="123">
        <v>0</v>
      </c>
      <c r="J16" s="123">
        <v>0</v>
      </c>
      <c r="K16" s="123">
        <v>12825</v>
      </c>
      <c r="L16" s="123">
        <v>0</v>
      </c>
      <c r="M16" s="202">
        <v>0</v>
      </c>
      <c r="N16" s="123">
        <v>12825</v>
      </c>
      <c r="O16" s="123">
        <v>0</v>
      </c>
      <c r="P16" s="123">
        <v>0</v>
      </c>
      <c r="Q16" s="108">
        <v>12825</v>
      </c>
      <c r="R16" s="123"/>
      <c r="S16" s="124">
        <f>SUM(E16:Q16)</f>
        <v>51300</v>
      </c>
      <c r="T16" s="123"/>
      <c r="U16" s="125">
        <f t="shared" si="1"/>
        <v>51300</v>
      </c>
      <c r="V16" s="125">
        <f t="shared" si="2"/>
        <v>0</v>
      </c>
      <c r="W16" s="94"/>
      <c r="X16" s="125">
        <v>46135.560000000005</v>
      </c>
      <c r="Y16" s="125">
        <f t="shared" si="4"/>
        <v>5164.4399999999951</v>
      </c>
    </row>
    <row r="17" spans="1:25" s="119" customFormat="1" ht="12" customHeight="1" x14ac:dyDescent="0.2">
      <c r="A17" s="120"/>
      <c r="B17" s="120" t="s">
        <v>70</v>
      </c>
      <c r="C17" s="121">
        <v>8019</v>
      </c>
      <c r="D17" s="122" t="s">
        <v>72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7">
        <v>0</v>
      </c>
      <c r="R17" s="123"/>
      <c r="S17" s="124">
        <f t="shared" ref="S17:S18" si="5">SUM(E17:Q17)</f>
        <v>0</v>
      </c>
      <c r="T17" s="123"/>
      <c r="U17" s="125">
        <f t="shared" si="1"/>
        <v>0</v>
      </c>
      <c r="V17" s="125">
        <f t="shared" si="2"/>
        <v>0</v>
      </c>
      <c r="W17" s="94"/>
      <c r="X17" s="125">
        <v>-3732</v>
      </c>
      <c r="Y17" s="125">
        <f t="shared" si="4"/>
        <v>3732</v>
      </c>
    </row>
    <row r="18" spans="1:25" s="119" customFormat="1" ht="12" customHeight="1" x14ac:dyDescent="0.2">
      <c r="A18" s="120"/>
      <c r="B18" s="120" t="s">
        <v>70</v>
      </c>
      <c r="C18" s="121">
        <v>8096</v>
      </c>
      <c r="D18" s="128" t="s">
        <v>63</v>
      </c>
      <c r="E18" s="123">
        <v>0</v>
      </c>
      <c r="F18" s="123">
        <v>42823.995638760003</v>
      </c>
      <c r="G18" s="123">
        <v>85647.991277520006</v>
      </c>
      <c r="H18" s="123">
        <v>57098.660851680012</v>
      </c>
      <c r="I18" s="123">
        <v>57098.660851680012</v>
      </c>
      <c r="J18" s="123">
        <v>57098.660851680012</v>
      </c>
      <c r="K18" s="123">
        <v>57098.660851680012</v>
      </c>
      <c r="L18" s="123">
        <v>57098.660851680012</v>
      </c>
      <c r="M18" s="123">
        <v>126554.55460843998</v>
      </c>
      <c r="N18" s="123">
        <v>63277.277304219991</v>
      </c>
      <c r="O18" s="123">
        <v>63277.277304219991</v>
      </c>
      <c r="P18" s="123">
        <v>63277.277304219991</v>
      </c>
      <c r="Q18" s="127">
        <v>63277.277304219897</v>
      </c>
      <c r="R18" s="123"/>
      <c r="S18" s="124">
        <f t="shared" si="5"/>
        <v>793628.95500000007</v>
      </c>
      <c r="T18" s="123"/>
      <c r="U18" s="125">
        <f t="shared" si="1"/>
        <v>793628.95500000007</v>
      </c>
      <c r="V18" s="125">
        <f t="shared" si="2"/>
        <v>0</v>
      </c>
      <c r="W18" s="94"/>
      <c r="X18" s="125">
        <v>713733.26064600004</v>
      </c>
      <c r="Y18" s="125">
        <f t="shared" si="4"/>
        <v>79895.694354000036</v>
      </c>
    </row>
    <row r="19" spans="1:25" s="94" customFormat="1" ht="12" customHeight="1" x14ac:dyDescent="0.2">
      <c r="A19" s="95"/>
      <c r="B19" s="95" t="s">
        <v>70</v>
      </c>
      <c r="C19" s="121"/>
      <c r="D19" s="128"/>
      <c r="E19" s="131">
        <f>SUM(E15:E18)</f>
        <v>0</v>
      </c>
      <c r="F19" s="131">
        <f t="shared" ref="F19:Q19" si="6">SUM(F15:F18)</f>
        <v>149437.41398797292</v>
      </c>
      <c r="G19" s="131">
        <f t="shared" si="6"/>
        <v>192261.40962673293</v>
      </c>
      <c r="H19" s="131">
        <f t="shared" si="6"/>
        <v>261827.81388026322</v>
      </c>
      <c r="I19" s="131">
        <f t="shared" si="6"/>
        <v>249002.81388026322</v>
      </c>
      <c r="J19" s="131">
        <f t="shared" si="6"/>
        <v>249002.81388026322</v>
      </c>
      <c r="K19" s="131">
        <f t="shared" si="6"/>
        <v>261827.81388026322</v>
      </c>
      <c r="L19" s="131">
        <f t="shared" si="6"/>
        <v>249002.81388026322</v>
      </c>
      <c r="M19" s="131">
        <f t="shared" si="6"/>
        <v>366196.16674747155</v>
      </c>
      <c r="N19" s="131">
        <f t="shared" si="6"/>
        <v>315743.88944325154</v>
      </c>
      <c r="O19" s="131">
        <f t="shared" si="6"/>
        <v>302918.88944325154</v>
      </c>
      <c r="P19" s="131">
        <f t="shared" si="6"/>
        <v>302918.88944325154</v>
      </c>
      <c r="Q19" s="130">
        <f t="shared" si="6"/>
        <v>315744.88944325165</v>
      </c>
      <c r="R19" s="104"/>
      <c r="S19" s="216">
        <f>SUM(S15:S18)</f>
        <v>3215885.6175364996</v>
      </c>
      <c r="T19" s="104"/>
      <c r="U19" s="133">
        <f>SUM(U15:U18)</f>
        <v>3215885.6175364996</v>
      </c>
      <c r="V19" s="133">
        <f>SUM(V15:V18)</f>
        <v>0</v>
      </c>
      <c r="X19" s="133">
        <f>SUM(X15:X18)</f>
        <v>2716557.901983263</v>
      </c>
      <c r="Y19" s="133">
        <f>SUM(Y15:Y18)</f>
        <v>499327.71555323672</v>
      </c>
    </row>
    <row r="20" spans="1:25" s="94" customFormat="1" ht="12.6" customHeight="1" x14ac:dyDescent="0.2">
      <c r="A20" s="90"/>
      <c r="B20" s="90" t="s">
        <v>73</v>
      </c>
      <c r="C20" s="90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135"/>
      <c r="R20" s="91"/>
      <c r="S20" s="136"/>
      <c r="T20" s="91"/>
      <c r="U20" s="91"/>
      <c r="V20" s="91"/>
      <c r="X20" s="91"/>
      <c r="Y20" s="91"/>
    </row>
    <row r="21" spans="1:25" s="94" customFormat="1" ht="12" customHeight="1" x14ac:dyDescent="0.2">
      <c r="A21" s="90"/>
      <c r="B21" s="90" t="s">
        <v>70</v>
      </c>
      <c r="C21" s="121">
        <v>8181</v>
      </c>
      <c r="D21" s="137" t="s">
        <v>74</v>
      </c>
      <c r="E21" s="125">
        <v>0</v>
      </c>
      <c r="F21" s="125">
        <v>2387.5152300000004</v>
      </c>
      <c r="G21" s="125">
        <v>2387.5152300000004</v>
      </c>
      <c r="H21" s="125">
        <v>4297.5274140000001</v>
      </c>
      <c r="I21" s="125">
        <v>4297.5274140000001</v>
      </c>
      <c r="J21" s="125">
        <v>4297.5274140000001</v>
      </c>
      <c r="K21" s="125">
        <v>4297.5274140000001</v>
      </c>
      <c r="L21" s="125">
        <v>4297.5274140000001</v>
      </c>
      <c r="M21" s="91">
        <v>5366.5664939999997</v>
      </c>
      <c r="N21" s="91">
        <v>5366.5664939999988</v>
      </c>
      <c r="O21" s="91">
        <v>5366.5664939999988</v>
      </c>
      <c r="P21" s="91">
        <v>5366.5664939999988</v>
      </c>
      <c r="Q21" s="135">
        <v>5366.5664939999988</v>
      </c>
      <c r="R21" s="123"/>
      <c r="S21" s="124">
        <f t="shared" ref="S21:S30" si="7">SUM(E21:Q21)</f>
        <v>53095.5</v>
      </c>
      <c r="T21" s="123"/>
      <c r="U21" s="125">
        <f t="shared" ref="U21:U84" si="8">S21</f>
        <v>53095.5</v>
      </c>
      <c r="V21" s="125">
        <f t="shared" ref="V21:V46" si="9">S21-U21</f>
        <v>0</v>
      </c>
      <c r="X21" s="125">
        <v>47817.201162000005</v>
      </c>
      <c r="Y21" s="125">
        <f t="shared" ref="Y21:Y30" si="10">S21-X21</f>
        <v>5278.2988379999952</v>
      </c>
    </row>
    <row r="22" spans="1:25" s="94" customFormat="1" ht="12" customHeight="1" x14ac:dyDescent="0.2">
      <c r="A22" s="90"/>
      <c r="B22" s="90" t="s">
        <v>70</v>
      </c>
      <c r="C22" s="121">
        <v>8182</v>
      </c>
      <c r="D22" s="137" t="s">
        <v>75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35">
        <v>0</v>
      </c>
      <c r="R22" s="123"/>
      <c r="S22" s="124">
        <f t="shared" si="7"/>
        <v>0</v>
      </c>
      <c r="T22" s="123"/>
      <c r="U22" s="125">
        <f t="shared" si="8"/>
        <v>0</v>
      </c>
      <c r="V22" s="125">
        <f t="shared" si="9"/>
        <v>0</v>
      </c>
      <c r="X22" s="125">
        <v>0</v>
      </c>
      <c r="Y22" s="125">
        <f t="shared" si="10"/>
        <v>0</v>
      </c>
    </row>
    <row r="23" spans="1:25" s="94" customFormat="1" ht="12" customHeight="1" x14ac:dyDescent="0.2">
      <c r="A23" s="90"/>
      <c r="B23" s="90" t="s">
        <v>70</v>
      </c>
      <c r="C23" s="121">
        <v>8220</v>
      </c>
      <c r="D23" s="128" t="s">
        <v>76</v>
      </c>
      <c r="E23" s="91">
        <v>0</v>
      </c>
      <c r="F23" s="91">
        <v>0</v>
      </c>
      <c r="G23" s="91">
        <v>0</v>
      </c>
      <c r="H23" s="91">
        <v>4738.7172656250004</v>
      </c>
      <c r="I23" s="91">
        <v>9003.5628046875008</v>
      </c>
      <c r="J23" s="91">
        <v>9003.5628046875008</v>
      </c>
      <c r="K23" s="91">
        <v>9003.5628046875008</v>
      </c>
      <c r="L23" s="91">
        <v>9003.5628046875008</v>
      </c>
      <c r="M23" s="91">
        <v>9003.5628046875008</v>
      </c>
      <c r="N23" s="91">
        <v>9003.5628046875008</v>
      </c>
      <c r="O23" s="91">
        <v>9003.5628046875008</v>
      </c>
      <c r="P23" s="91">
        <v>9003.5628046875008</v>
      </c>
      <c r="Q23" s="135">
        <f>P23*2</f>
        <v>18007.125609375002</v>
      </c>
      <c r="R23" s="91"/>
      <c r="S23" s="124">
        <f t="shared" si="7"/>
        <v>94774.345312500009</v>
      </c>
      <c r="T23" s="91"/>
      <c r="U23" s="125">
        <f>S23</f>
        <v>94774.345312500009</v>
      </c>
      <c r="V23" s="125">
        <f t="shared" si="9"/>
        <v>0</v>
      </c>
      <c r="X23" s="125">
        <v>199484.52424692814</v>
      </c>
      <c r="Y23" s="125">
        <f t="shared" si="10"/>
        <v>-104710.17893442813</v>
      </c>
    </row>
    <row r="24" spans="1:25" s="94" customFormat="1" ht="12" customHeight="1" x14ac:dyDescent="0.2">
      <c r="A24" s="90"/>
      <c r="B24" s="90" t="s">
        <v>70</v>
      </c>
      <c r="C24" s="121">
        <v>8290</v>
      </c>
      <c r="D24" s="128" t="s">
        <v>77</v>
      </c>
      <c r="E24" s="91">
        <v>0</v>
      </c>
      <c r="F24" s="91">
        <v>0</v>
      </c>
      <c r="G24" s="91">
        <v>29851</v>
      </c>
      <c r="H24" s="91">
        <v>0</v>
      </c>
      <c r="I24" s="91">
        <v>0</v>
      </c>
      <c r="J24" s="91">
        <v>89553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135">
        <v>0</v>
      </c>
      <c r="R24" s="138"/>
      <c r="S24" s="124">
        <f t="shared" si="7"/>
        <v>119404</v>
      </c>
      <c r="T24" s="138"/>
      <c r="U24" s="125">
        <f t="shared" si="8"/>
        <v>119404</v>
      </c>
      <c r="V24" s="125">
        <f t="shared" si="9"/>
        <v>0</v>
      </c>
      <c r="X24" s="125">
        <v>119404</v>
      </c>
      <c r="Y24" s="125">
        <f t="shared" si="10"/>
        <v>0</v>
      </c>
    </row>
    <row r="25" spans="1:25" s="94" customFormat="1" ht="12" customHeight="1" x14ac:dyDescent="0.2">
      <c r="A25" s="90"/>
      <c r="B25" s="90" t="s">
        <v>70</v>
      </c>
      <c r="C25" s="121">
        <v>8291</v>
      </c>
      <c r="D25" s="128" t="s">
        <v>78</v>
      </c>
      <c r="E25" s="91">
        <v>0</v>
      </c>
      <c r="F25" s="91">
        <v>0</v>
      </c>
      <c r="G25" s="91">
        <v>2281.75</v>
      </c>
      <c r="H25" s="91">
        <v>0</v>
      </c>
      <c r="I25" s="91">
        <v>0</v>
      </c>
      <c r="J25" s="91">
        <v>6845.25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135">
        <v>0</v>
      </c>
      <c r="R25" s="91"/>
      <c r="S25" s="124">
        <f t="shared" si="7"/>
        <v>9127</v>
      </c>
      <c r="T25" s="91"/>
      <c r="U25" s="125">
        <f t="shared" si="8"/>
        <v>9127</v>
      </c>
      <c r="V25" s="125">
        <f t="shared" si="9"/>
        <v>0</v>
      </c>
      <c r="X25" s="125">
        <v>9127</v>
      </c>
      <c r="Y25" s="125">
        <f t="shared" si="10"/>
        <v>0</v>
      </c>
    </row>
    <row r="26" spans="1:25" s="94" customFormat="1" ht="12" customHeight="1" x14ac:dyDescent="0.2">
      <c r="A26" s="90"/>
      <c r="B26" s="90" t="s">
        <v>70</v>
      </c>
      <c r="C26" s="121">
        <v>8293</v>
      </c>
      <c r="D26" s="128" t="s">
        <v>79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135">
        <v>0</v>
      </c>
      <c r="R26" s="91"/>
      <c r="S26" s="124">
        <f t="shared" si="7"/>
        <v>0</v>
      </c>
      <c r="T26" s="91"/>
      <c r="U26" s="125">
        <f t="shared" si="8"/>
        <v>0</v>
      </c>
      <c r="V26" s="125">
        <f t="shared" si="9"/>
        <v>0</v>
      </c>
      <c r="X26" s="125">
        <v>0</v>
      </c>
      <c r="Y26" s="125">
        <f t="shared" si="10"/>
        <v>0</v>
      </c>
    </row>
    <row r="27" spans="1:25" s="94" customFormat="1" ht="12" customHeight="1" x14ac:dyDescent="0.2">
      <c r="A27" s="90"/>
      <c r="B27" s="90" t="s">
        <v>70</v>
      </c>
      <c r="C27" s="121">
        <v>8294</v>
      </c>
      <c r="D27" s="128" t="s">
        <v>80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135">
        <v>0</v>
      </c>
      <c r="R27" s="91"/>
      <c r="S27" s="124">
        <f t="shared" si="7"/>
        <v>0</v>
      </c>
      <c r="T27" s="91"/>
      <c r="U27" s="125">
        <f t="shared" si="8"/>
        <v>0</v>
      </c>
      <c r="V27" s="125">
        <f t="shared" si="9"/>
        <v>0</v>
      </c>
      <c r="X27" s="125">
        <v>0</v>
      </c>
      <c r="Y27" s="125">
        <f t="shared" si="10"/>
        <v>0</v>
      </c>
    </row>
    <row r="28" spans="1:25" s="94" customFormat="1" ht="12" customHeight="1" x14ac:dyDescent="0.2">
      <c r="A28" s="90"/>
      <c r="B28" s="90" t="s">
        <v>70</v>
      </c>
      <c r="C28" s="121">
        <v>8295</v>
      </c>
      <c r="D28" s="128" t="s">
        <v>81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135">
        <v>0</v>
      </c>
      <c r="R28" s="91"/>
      <c r="S28" s="124">
        <f t="shared" si="7"/>
        <v>0</v>
      </c>
      <c r="T28" s="91"/>
      <c r="U28" s="125">
        <f t="shared" si="8"/>
        <v>0</v>
      </c>
      <c r="V28" s="125">
        <f t="shared" si="9"/>
        <v>0</v>
      </c>
      <c r="X28" s="125">
        <v>0</v>
      </c>
      <c r="Y28" s="125">
        <f t="shared" si="10"/>
        <v>0</v>
      </c>
    </row>
    <row r="29" spans="1:25" s="94" customFormat="1" ht="12" customHeight="1" x14ac:dyDescent="0.2">
      <c r="A29" s="90"/>
      <c r="B29" s="90" t="s">
        <v>70</v>
      </c>
      <c r="C29" s="121">
        <v>8296</v>
      </c>
      <c r="D29" s="128" t="s">
        <v>82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35">
        <v>737618</v>
      </c>
      <c r="R29" s="91"/>
      <c r="S29" s="218">
        <f t="shared" si="7"/>
        <v>737618</v>
      </c>
      <c r="T29" s="91"/>
      <c r="U29" s="125">
        <f t="shared" si="8"/>
        <v>737618</v>
      </c>
      <c r="V29" s="125">
        <f t="shared" si="9"/>
        <v>0</v>
      </c>
      <c r="X29" s="125">
        <v>336621.83</v>
      </c>
      <c r="Y29" s="125">
        <f t="shared" si="10"/>
        <v>400996.17</v>
      </c>
    </row>
    <row r="30" spans="1:25" s="94" customFormat="1" ht="12" customHeight="1" x14ac:dyDescent="0.2">
      <c r="A30" s="90"/>
      <c r="B30" s="90"/>
      <c r="C30" s="121">
        <v>8299</v>
      </c>
      <c r="D30" s="128" t="s">
        <v>83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35">
        <v>0</v>
      </c>
      <c r="R30" s="91"/>
      <c r="S30" s="124">
        <f t="shared" si="7"/>
        <v>0</v>
      </c>
      <c r="T30" s="91"/>
      <c r="U30" s="125">
        <f t="shared" si="8"/>
        <v>0</v>
      </c>
      <c r="V30" s="125">
        <f t="shared" si="9"/>
        <v>0</v>
      </c>
      <c r="X30" s="125">
        <v>9746.91</v>
      </c>
      <c r="Y30" s="125">
        <f t="shared" si="10"/>
        <v>-9746.91</v>
      </c>
    </row>
    <row r="31" spans="1:25" s="119" customFormat="1" ht="12" customHeight="1" x14ac:dyDescent="0.2">
      <c r="A31" s="120"/>
      <c r="B31" s="120" t="s">
        <v>70</v>
      </c>
      <c r="C31" s="120"/>
      <c r="D31" s="139"/>
      <c r="E31" s="142">
        <f>SUM(E21:E30)</f>
        <v>0</v>
      </c>
      <c r="F31" s="142">
        <f t="shared" ref="F31:P31" si="11">SUM(F21:F30)</f>
        <v>2387.5152300000004</v>
      </c>
      <c r="G31" s="142">
        <f t="shared" si="11"/>
        <v>34520.265230000005</v>
      </c>
      <c r="H31" s="142">
        <f t="shared" si="11"/>
        <v>9036.2446796250006</v>
      </c>
      <c r="I31" s="142">
        <f t="shared" si="11"/>
        <v>13301.090218687501</v>
      </c>
      <c r="J31" s="142">
        <f t="shared" si="11"/>
        <v>109699.3402186875</v>
      </c>
      <c r="K31" s="142">
        <f t="shared" si="11"/>
        <v>13301.090218687501</v>
      </c>
      <c r="L31" s="142">
        <f t="shared" si="11"/>
        <v>13301.090218687501</v>
      </c>
      <c r="M31" s="142">
        <f t="shared" si="11"/>
        <v>14370.129298687501</v>
      </c>
      <c r="N31" s="142">
        <f t="shared" si="11"/>
        <v>14370.1292986875</v>
      </c>
      <c r="O31" s="142">
        <f t="shared" si="11"/>
        <v>14370.1292986875</v>
      </c>
      <c r="P31" s="142">
        <f t="shared" si="11"/>
        <v>14370.1292986875</v>
      </c>
      <c r="Q31" s="141">
        <f>SUM(Q21:Q30)</f>
        <v>760991.69210337498</v>
      </c>
      <c r="R31" s="123"/>
      <c r="S31" s="217">
        <f>SUM(S21:S30)</f>
        <v>1014018.8453125</v>
      </c>
      <c r="T31" s="123"/>
      <c r="U31" s="144">
        <f>SUM(U21:U30)</f>
        <v>1014018.8453125</v>
      </c>
      <c r="V31" s="144">
        <f>SUM(V21:V30)</f>
        <v>0</v>
      </c>
      <c r="W31" s="94"/>
      <c r="X31" s="144">
        <f>SUM(X21:X30)</f>
        <v>722201.46540892811</v>
      </c>
      <c r="Y31" s="144">
        <f>SUM(Y21:Y30)</f>
        <v>291817.37990357185</v>
      </c>
    </row>
    <row r="32" spans="1:25" s="94" customFormat="1" ht="12" customHeight="1" x14ac:dyDescent="0.2">
      <c r="A32" s="90"/>
      <c r="B32" s="95" t="s">
        <v>84</v>
      </c>
      <c r="C32" s="90"/>
      <c r="D32" s="90"/>
      <c r="E32" s="123"/>
      <c r="F32" s="123"/>
      <c r="G32" s="123"/>
      <c r="H32" s="123"/>
      <c r="I32" s="123"/>
      <c r="J32" s="123"/>
      <c r="K32" s="123"/>
      <c r="L32" s="104"/>
      <c r="M32" s="104"/>
      <c r="N32" s="104"/>
      <c r="O32" s="104"/>
      <c r="P32" s="104"/>
      <c r="Q32" s="103"/>
      <c r="R32" s="104"/>
      <c r="S32" s="105"/>
      <c r="T32" s="104"/>
      <c r="U32" s="145"/>
      <c r="V32" s="145"/>
      <c r="X32" s="145"/>
      <c r="Y32" s="145"/>
    </row>
    <row r="33" spans="1:25" s="94" customFormat="1" ht="12" customHeight="1" x14ac:dyDescent="0.2">
      <c r="A33" s="90"/>
      <c r="B33" s="90" t="s">
        <v>70</v>
      </c>
      <c r="C33" s="121">
        <v>8311</v>
      </c>
      <c r="D33" s="137" t="s">
        <v>85</v>
      </c>
      <c r="E33" s="91">
        <v>0</v>
      </c>
      <c r="F33" s="91">
        <v>7566.2318400000013</v>
      </c>
      <c r="G33" s="91">
        <v>7566.2318400000013</v>
      </c>
      <c r="H33" s="91">
        <v>13619.217312000001</v>
      </c>
      <c r="I33" s="91">
        <v>13619.217312000001</v>
      </c>
      <c r="J33" s="91">
        <v>13619.217312000001</v>
      </c>
      <c r="K33" s="91">
        <v>13619.217312000001</v>
      </c>
      <c r="L33" s="91">
        <v>13619.217312000001</v>
      </c>
      <c r="M33" s="91">
        <v>17007.089951999998</v>
      </c>
      <c r="N33" s="91">
        <v>17007.089951999995</v>
      </c>
      <c r="O33" s="91">
        <v>17007.089951999995</v>
      </c>
      <c r="P33" s="91">
        <v>17007.089951999995</v>
      </c>
      <c r="Q33" s="135">
        <v>17007.089952000009</v>
      </c>
      <c r="R33" s="123"/>
      <c r="S33" s="124">
        <f t="shared" ref="S33:S39" si="12">SUM(E33:Q33)</f>
        <v>168264</v>
      </c>
      <c r="T33" s="123"/>
      <c r="U33" s="125">
        <f t="shared" si="8"/>
        <v>168264</v>
      </c>
      <c r="V33" s="125">
        <f t="shared" si="9"/>
        <v>0</v>
      </c>
      <c r="X33" s="125">
        <v>151405.37403000001</v>
      </c>
      <c r="Y33" s="125">
        <f t="shared" ref="Y33:Y39" si="13">S33-X33</f>
        <v>16858.625969999994</v>
      </c>
    </row>
    <row r="34" spans="1:25" s="94" customFormat="1" ht="12" customHeight="1" x14ac:dyDescent="0.2">
      <c r="A34" s="90"/>
      <c r="B34" s="90" t="s">
        <v>70</v>
      </c>
      <c r="C34" s="121">
        <v>8520</v>
      </c>
      <c r="D34" s="128" t="s">
        <v>86</v>
      </c>
      <c r="E34" s="125">
        <v>0</v>
      </c>
      <c r="F34" s="125">
        <v>0</v>
      </c>
      <c r="G34" s="91">
        <v>0</v>
      </c>
      <c r="H34" s="91">
        <v>448.53205950000006</v>
      </c>
      <c r="I34" s="91">
        <v>852.21091304999993</v>
      </c>
      <c r="J34" s="91">
        <v>852.21091304999993</v>
      </c>
      <c r="K34" s="91">
        <v>852.21091304999993</v>
      </c>
      <c r="L34" s="91">
        <v>852.21091304999993</v>
      </c>
      <c r="M34" s="91">
        <v>852.21091304999993</v>
      </c>
      <c r="N34" s="91">
        <v>852.21091304999993</v>
      </c>
      <c r="O34" s="91">
        <v>852.21091304999993</v>
      </c>
      <c r="P34" s="91">
        <v>852.21091304999993</v>
      </c>
      <c r="Q34" s="135">
        <f>P34*2</f>
        <v>1704.4218260999999</v>
      </c>
      <c r="R34" s="91"/>
      <c r="S34" s="124">
        <f t="shared" si="12"/>
        <v>8970.6411900000003</v>
      </c>
      <c r="T34" s="91"/>
      <c r="U34" s="125">
        <f t="shared" si="8"/>
        <v>8970.6411900000003</v>
      </c>
      <c r="V34" s="125">
        <f t="shared" si="9"/>
        <v>0</v>
      </c>
      <c r="X34" s="125">
        <v>16171.164583877659</v>
      </c>
      <c r="Y34" s="125">
        <f t="shared" si="13"/>
        <v>-7200.5233938776582</v>
      </c>
    </row>
    <row r="35" spans="1:25" s="94" customFormat="1" ht="12" customHeight="1" x14ac:dyDescent="0.2">
      <c r="A35" s="90"/>
      <c r="B35" s="90" t="s">
        <v>70</v>
      </c>
      <c r="C35" s="121">
        <v>8545</v>
      </c>
      <c r="D35" s="128" t="s">
        <v>87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125">
        <v>0</v>
      </c>
      <c r="K35" s="125">
        <v>139779.67500000002</v>
      </c>
      <c r="L35" s="91">
        <v>0</v>
      </c>
      <c r="M35" s="91">
        <v>0</v>
      </c>
      <c r="N35" s="91">
        <v>0</v>
      </c>
      <c r="O35" s="125">
        <v>69889.837500000009</v>
      </c>
      <c r="P35" s="91">
        <v>0</v>
      </c>
      <c r="Q35" s="146">
        <v>69889.837500000009</v>
      </c>
      <c r="R35" s="91"/>
      <c r="S35" s="124">
        <f t="shared" si="12"/>
        <v>279559.35000000003</v>
      </c>
      <c r="T35" s="91"/>
      <c r="U35" s="125">
        <f t="shared" si="8"/>
        <v>279559.35000000003</v>
      </c>
      <c r="V35" s="125">
        <f t="shared" si="9"/>
        <v>0</v>
      </c>
      <c r="X35" s="125">
        <v>251415.73422000004</v>
      </c>
      <c r="Y35" s="125">
        <f t="shared" si="13"/>
        <v>28143.615779999993</v>
      </c>
    </row>
    <row r="36" spans="1:25" s="94" customFormat="1" ht="12" customHeight="1" x14ac:dyDescent="0.2">
      <c r="A36" s="90"/>
      <c r="B36" s="90" t="s">
        <v>70</v>
      </c>
      <c r="C36" s="121">
        <v>8550</v>
      </c>
      <c r="D36" s="128" t="s">
        <v>88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3889.2277080000003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146">
        <v>0</v>
      </c>
      <c r="R36" s="91"/>
      <c r="S36" s="124">
        <f t="shared" si="12"/>
        <v>3889.2277080000003</v>
      </c>
      <c r="T36" s="91"/>
      <c r="U36" s="125">
        <f t="shared" si="8"/>
        <v>3889.2277080000003</v>
      </c>
      <c r="V36" s="125">
        <f t="shared" si="9"/>
        <v>0</v>
      </c>
      <c r="X36" s="125">
        <v>4741</v>
      </c>
      <c r="Y36" s="125">
        <f t="shared" si="13"/>
        <v>-851.77229199999965</v>
      </c>
    </row>
    <row r="37" spans="1:25" s="94" customFormat="1" ht="12" customHeight="1" x14ac:dyDescent="0.2">
      <c r="A37" s="120"/>
      <c r="B37" s="120" t="s">
        <v>70</v>
      </c>
      <c r="C37" s="121">
        <v>8560</v>
      </c>
      <c r="D37" s="128" t="s">
        <v>89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11937.576150000001</v>
      </c>
      <c r="L37" s="91">
        <v>0</v>
      </c>
      <c r="M37" s="91">
        <v>0</v>
      </c>
      <c r="N37" s="91">
        <v>11937.576150000001</v>
      </c>
      <c r="O37" s="91">
        <v>0</v>
      </c>
      <c r="P37" s="91">
        <v>0</v>
      </c>
      <c r="Q37" s="135">
        <v>29220.347699999998</v>
      </c>
      <c r="R37" s="91"/>
      <c r="S37" s="124">
        <f t="shared" si="12"/>
        <v>53095.5</v>
      </c>
      <c r="T37" s="91"/>
      <c r="U37" s="125">
        <f t="shared" si="8"/>
        <v>53095.5</v>
      </c>
      <c r="V37" s="125">
        <f t="shared" si="9"/>
        <v>0</v>
      </c>
      <c r="X37" s="125">
        <v>47750.304600000003</v>
      </c>
      <c r="Y37" s="125">
        <f t="shared" si="13"/>
        <v>5345.1953999999969</v>
      </c>
    </row>
    <row r="38" spans="1:25" s="94" customFormat="1" ht="12" customHeight="1" x14ac:dyDescent="0.2">
      <c r="A38" s="120"/>
      <c r="B38" s="120" t="s">
        <v>70</v>
      </c>
      <c r="C38" s="121">
        <v>8598</v>
      </c>
      <c r="D38" s="128" t="s">
        <v>90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35">
        <v>0</v>
      </c>
      <c r="R38" s="91"/>
      <c r="S38" s="124">
        <f t="shared" si="12"/>
        <v>0</v>
      </c>
      <c r="T38" s="91"/>
      <c r="U38" s="125">
        <f t="shared" si="8"/>
        <v>0</v>
      </c>
      <c r="V38" s="125">
        <f t="shared" si="9"/>
        <v>0</v>
      </c>
      <c r="X38" s="125">
        <v>20531.96</v>
      </c>
      <c r="Y38" s="125">
        <f t="shared" si="13"/>
        <v>-20531.96</v>
      </c>
    </row>
    <row r="39" spans="1:25" s="94" customFormat="1" ht="12" customHeight="1" x14ac:dyDescent="0.2">
      <c r="A39" s="90"/>
      <c r="B39" s="90" t="s">
        <v>70</v>
      </c>
      <c r="C39" s="121">
        <v>8599</v>
      </c>
      <c r="D39" s="128" t="s">
        <v>84</v>
      </c>
      <c r="E39" s="91">
        <v>0</v>
      </c>
      <c r="F39" s="91">
        <v>0</v>
      </c>
      <c r="G39" s="91">
        <v>0</v>
      </c>
      <c r="H39" s="91">
        <v>0</v>
      </c>
      <c r="I39" s="125">
        <v>302425.5</v>
      </c>
      <c r="J39" s="125">
        <v>0</v>
      </c>
      <c r="K39" s="125">
        <v>0</v>
      </c>
      <c r="L39" s="125">
        <v>0</v>
      </c>
      <c r="M39" s="125">
        <v>0</v>
      </c>
      <c r="N39" s="125">
        <v>116317.5</v>
      </c>
      <c r="O39" s="91">
        <v>0</v>
      </c>
      <c r="P39" s="91">
        <v>0</v>
      </c>
      <c r="Q39" s="146">
        <v>46527</v>
      </c>
      <c r="R39" s="91"/>
      <c r="S39" s="124">
        <f t="shared" si="12"/>
        <v>465270</v>
      </c>
      <c r="T39" s="91"/>
      <c r="U39" s="125">
        <f t="shared" si="8"/>
        <v>465270</v>
      </c>
      <c r="V39" s="125">
        <f t="shared" si="9"/>
        <v>0</v>
      </c>
      <c r="X39" s="125">
        <v>519702.72</v>
      </c>
      <c r="Y39" s="125">
        <f t="shared" si="13"/>
        <v>-54432.719999999972</v>
      </c>
    </row>
    <row r="40" spans="1:25" s="119" customFormat="1" ht="12" customHeight="1" x14ac:dyDescent="0.2">
      <c r="A40" s="120"/>
      <c r="B40" s="120" t="s">
        <v>70</v>
      </c>
      <c r="C40" s="120"/>
      <c r="D40" s="139"/>
      <c r="E40" s="142">
        <f>SUM(E33:E39)</f>
        <v>0</v>
      </c>
      <c r="F40" s="142">
        <f t="shared" ref="F40:Q40" si="14">SUM(F33:F39)</f>
        <v>7566.2318400000013</v>
      </c>
      <c r="G40" s="142">
        <f t="shared" si="14"/>
        <v>7566.2318400000013</v>
      </c>
      <c r="H40" s="142">
        <f t="shared" si="14"/>
        <v>14067.7493715</v>
      </c>
      <c r="I40" s="142">
        <f t="shared" si="14"/>
        <v>316896.92822504998</v>
      </c>
      <c r="J40" s="142">
        <f t="shared" si="14"/>
        <v>18360.655933050002</v>
      </c>
      <c r="K40" s="142">
        <f t="shared" si="14"/>
        <v>166188.67937505004</v>
      </c>
      <c r="L40" s="142">
        <f t="shared" si="14"/>
        <v>14471.42822505</v>
      </c>
      <c r="M40" s="142">
        <f t="shared" si="14"/>
        <v>17859.300865049998</v>
      </c>
      <c r="N40" s="142">
        <f t="shared" si="14"/>
        <v>146114.37701505001</v>
      </c>
      <c r="O40" s="142">
        <f t="shared" si="14"/>
        <v>87749.138365050007</v>
      </c>
      <c r="P40" s="142">
        <f t="shared" si="14"/>
        <v>17859.300865049994</v>
      </c>
      <c r="Q40" s="141">
        <f t="shared" si="14"/>
        <v>164348.69697809999</v>
      </c>
      <c r="R40" s="123"/>
      <c r="S40" s="132">
        <f>SUM(S33:S39)</f>
        <v>979048.71889799996</v>
      </c>
      <c r="T40" s="123"/>
      <c r="U40" s="144">
        <f>SUM(U33:U39)</f>
        <v>979048.71889799996</v>
      </c>
      <c r="V40" s="144">
        <f>SUM(V33:V39)</f>
        <v>0</v>
      </c>
      <c r="W40" s="94"/>
      <c r="X40" s="144">
        <f>SUM(X33:X39)</f>
        <v>1011718.2574338778</v>
      </c>
      <c r="Y40" s="144">
        <f>SUM(Y33:Y39)</f>
        <v>-32669.538535877648</v>
      </c>
    </row>
    <row r="41" spans="1:25" s="119" customFormat="1" ht="12" customHeight="1" x14ac:dyDescent="0.2">
      <c r="A41" s="120"/>
      <c r="B41" s="147" t="s">
        <v>91</v>
      </c>
      <c r="C41" s="121"/>
      <c r="D41" s="128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08"/>
      <c r="R41" s="123"/>
      <c r="S41" s="124"/>
      <c r="T41" s="123"/>
      <c r="U41" s="148"/>
      <c r="V41" s="148"/>
      <c r="W41" s="94"/>
      <c r="X41" s="148"/>
      <c r="Y41" s="148"/>
    </row>
    <row r="42" spans="1:25" s="94" customFormat="1" ht="12" customHeight="1" x14ac:dyDescent="0.2">
      <c r="A42" s="90"/>
      <c r="B42" s="90" t="s">
        <v>70</v>
      </c>
      <c r="C42" s="121">
        <v>8634</v>
      </c>
      <c r="D42" s="122" t="s">
        <v>92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135">
        <v>0</v>
      </c>
      <c r="R42" s="91"/>
      <c r="S42" s="124">
        <f t="shared" ref="S42:S49" si="15">SUM(E42:Q42)</f>
        <v>0</v>
      </c>
      <c r="T42" s="91"/>
      <c r="U42" s="125">
        <f t="shared" si="8"/>
        <v>0</v>
      </c>
      <c r="V42" s="125">
        <f t="shared" si="9"/>
        <v>0</v>
      </c>
      <c r="X42" s="125">
        <v>0</v>
      </c>
      <c r="Y42" s="125">
        <f t="shared" ref="Y42:Y49" si="16">S42-X42</f>
        <v>0</v>
      </c>
    </row>
    <row r="43" spans="1:25" s="94" customFormat="1" ht="12" customHeight="1" x14ac:dyDescent="0.2">
      <c r="A43" s="90"/>
      <c r="B43" s="90" t="s">
        <v>70</v>
      </c>
      <c r="C43" s="121">
        <v>8650</v>
      </c>
      <c r="D43" s="122" t="s">
        <v>93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135">
        <v>0</v>
      </c>
      <c r="R43" s="91"/>
      <c r="S43" s="124">
        <f t="shared" si="15"/>
        <v>0</v>
      </c>
      <c r="T43" s="91"/>
      <c r="U43" s="125">
        <f t="shared" si="8"/>
        <v>0</v>
      </c>
      <c r="V43" s="125">
        <f t="shared" si="9"/>
        <v>0</v>
      </c>
      <c r="X43" s="125">
        <v>0</v>
      </c>
      <c r="Y43" s="125">
        <f t="shared" si="16"/>
        <v>0</v>
      </c>
    </row>
    <row r="44" spans="1:25" s="94" customFormat="1" ht="12" customHeight="1" x14ac:dyDescent="0.2">
      <c r="A44" s="90"/>
      <c r="B44" s="90" t="s">
        <v>70</v>
      </c>
      <c r="C44" s="121">
        <v>8660</v>
      </c>
      <c r="D44" s="122" t="s">
        <v>94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135">
        <v>0</v>
      </c>
      <c r="R44" s="91"/>
      <c r="S44" s="124">
        <f t="shared" si="15"/>
        <v>0</v>
      </c>
      <c r="T44" s="91"/>
      <c r="U44" s="125">
        <f t="shared" si="8"/>
        <v>0</v>
      </c>
      <c r="V44" s="125">
        <f t="shared" si="9"/>
        <v>0</v>
      </c>
      <c r="X44" s="125">
        <v>620.12000000000012</v>
      </c>
      <c r="Y44" s="125">
        <f t="shared" si="16"/>
        <v>-620.12000000000012</v>
      </c>
    </row>
    <row r="45" spans="1:25" s="94" customFormat="1" ht="12" customHeight="1" x14ac:dyDescent="0.2">
      <c r="A45" s="90"/>
      <c r="B45" s="90" t="s">
        <v>70</v>
      </c>
      <c r="C45" s="121">
        <v>8689</v>
      </c>
      <c r="D45" s="122" t="s">
        <v>95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135">
        <v>0</v>
      </c>
      <c r="R45" s="91"/>
      <c r="S45" s="124">
        <f t="shared" si="15"/>
        <v>0</v>
      </c>
      <c r="T45" s="91"/>
      <c r="U45" s="125">
        <f t="shared" si="8"/>
        <v>0</v>
      </c>
      <c r="V45" s="125">
        <f t="shared" si="9"/>
        <v>0</v>
      </c>
      <c r="X45" s="125">
        <v>11838.42</v>
      </c>
      <c r="Y45" s="125">
        <f t="shared" si="16"/>
        <v>-11838.42</v>
      </c>
    </row>
    <row r="46" spans="1:25" s="94" customFormat="1" ht="12" customHeight="1" x14ac:dyDescent="0.2">
      <c r="A46" s="90"/>
      <c r="B46" s="90" t="s">
        <v>70</v>
      </c>
      <c r="C46" s="121">
        <v>8698</v>
      </c>
      <c r="D46" s="122" t="s">
        <v>96</v>
      </c>
      <c r="E46" s="150">
        <v>0</v>
      </c>
      <c r="F46" s="150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  <c r="Q46" s="135">
        <v>0</v>
      </c>
      <c r="R46" s="91"/>
      <c r="S46" s="124">
        <f t="shared" si="15"/>
        <v>0</v>
      </c>
      <c r="T46" s="91"/>
      <c r="U46" s="125">
        <f t="shared" si="8"/>
        <v>0</v>
      </c>
      <c r="V46" s="125">
        <f t="shared" si="9"/>
        <v>0</v>
      </c>
      <c r="X46" s="125">
        <v>0</v>
      </c>
      <c r="Y46" s="125">
        <f t="shared" si="16"/>
        <v>0</v>
      </c>
    </row>
    <row r="47" spans="1:25" s="94" customFormat="1" ht="12" customHeight="1" x14ac:dyDescent="0.2">
      <c r="A47" s="90"/>
      <c r="B47" s="90" t="s">
        <v>70</v>
      </c>
      <c r="C47" s="121">
        <v>8699</v>
      </c>
      <c r="D47" s="122" t="s">
        <v>97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35">
        <v>0</v>
      </c>
      <c r="R47" s="91"/>
      <c r="S47" s="124">
        <f t="shared" si="15"/>
        <v>0</v>
      </c>
      <c r="T47" s="91"/>
      <c r="U47" s="125">
        <f>S47</f>
        <v>0</v>
      </c>
      <c r="V47" s="125">
        <f>S47-U47</f>
        <v>0</v>
      </c>
      <c r="X47" s="125">
        <v>7373.47</v>
      </c>
      <c r="Y47" s="125">
        <f t="shared" si="16"/>
        <v>-7373.47</v>
      </c>
    </row>
    <row r="48" spans="1:25" s="94" customFormat="1" ht="12" customHeight="1" x14ac:dyDescent="0.2">
      <c r="A48" s="95"/>
      <c r="B48" s="95" t="s">
        <v>70</v>
      </c>
      <c r="C48" s="121">
        <v>8980</v>
      </c>
      <c r="D48" s="128" t="s">
        <v>98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52">
        <v>0</v>
      </c>
      <c r="R48" s="104"/>
      <c r="S48" s="124">
        <f t="shared" si="15"/>
        <v>0</v>
      </c>
      <c r="T48" s="104"/>
      <c r="U48" s="125">
        <f>S48</f>
        <v>0</v>
      </c>
      <c r="V48" s="125">
        <f>S48-U48</f>
        <v>0</v>
      </c>
      <c r="X48" s="125">
        <v>0</v>
      </c>
      <c r="Y48" s="125">
        <f t="shared" si="16"/>
        <v>0</v>
      </c>
    </row>
    <row r="49" spans="1:25" s="94" customFormat="1" ht="12" customHeight="1" x14ac:dyDescent="0.2">
      <c r="A49" s="95"/>
      <c r="B49" s="95" t="s">
        <v>70</v>
      </c>
      <c r="C49" s="121">
        <v>8990</v>
      </c>
      <c r="D49" s="128" t="s">
        <v>99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52">
        <v>0</v>
      </c>
      <c r="R49" s="104"/>
      <c r="S49" s="124">
        <f t="shared" si="15"/>
        <v>0</v>
      </c>
      <c r="T49" s="104"/>
      <c r="U49" s="125">
        <f>S49</f>
        <v>0</v>
      </c>
      <c r="V49" s="125">
        <f>S49-U49</f>
        <v>0</v>
      </c>
      <c r="X49" s="125">
        <v>0</v>
      </c>
      <c r="Y49" s="125">
        <f t="shared" si="16"/>
        <v>0</v>
      </c>
    </row>
    <row r="50" spans="1:25" s="94" customFormat="1" ht="12" customHeight="1" x14ac:dyDescent="0.2">
      <c r="A50" s="95"/>
      <c r="B50" s="95" t="s">
        <v>70</v>
      </c>
      <c r="C50" s="121"/>
      <c r="D50" s="128"/>
      <c r="E50" s="131">
        <f>SUM(E42:E49)</f>
        <v>0</v>
      </c>
      <c r="F50" s="131">
        <f t="shared" ref="F50:P50" si="17">SUM(F42:F49)</f>
        <v>0</v>
      </c>
      <c r="G50" s="131">
        <f t="shared" si="17"/>
        <v>0</v>
      </c>
      <c r="H50" s="131">
        <f t="shared" si="17"/>
        <v>0</v>
      </c>
      <c r="I50" s="131">
        <f t="shared" si="17"/>
        <v>0</v>
      </c>
      <c r="J50" s="131">
        <f t="shared" si="17"/>
        <v>0</v>
      </c>
      <c r="K50" s="131">
        <f t="shared" si="17"/>
        <v>0</v>
      </c>
      <c r="L50" s="131">
        <f t="shared" si="17"/>
        <v>0</v>
      </c>
      <c r="M50" s="131">
        <f t="shared" si="17"/>
        <v>0</v>
      </c>
      <c r="N50" s="131">
        <f t="shared" si="17"/>
        <v>0</v>
      </c>
      <c r="O50" s="131">
        <f t="shared" si="17"/>
        <v>0</v>
      </c>
      <c r="P50" s="131">
        <f t="shared" si="17"/>
        <v>0</v>
      </c>
      <c r="Q50" s="130">
        <f>SUM(Q42:Q49)</f>
        <v>0</v>
      </c>
      <c r="R50" s="104"/>
      <c r="S50" s="132">
        <f>SUM(S42:S49)</f>
        <v>0</v>
      </c>
      <c r="T50" s="104"/>
      <c r="U50" s="133">
        <f>SUM(U42:U49)</f>
        <v>0</v>
      </c>
      <c r="V50" s="133">
        <f>SUM(V42:V49)</f>
        <v>0</v>
      </c>
      <c r="X50" s="133">
        <f>SUM(X42:X49)</f>
        <v>19832.010000000002</v>
      </c>
      <c r="Y50" s="133">
        <f>SUM(Y42:Y49)</f>
        <v>-19832.010000000002</v>
      </c>
    </row>
    <row r="51" spans="1:25" s="94" customFormat="1" ht="12" customHeight="1" x14ac:dyDescent="0.2">
      <c r="A51" s="90"/>
      <c r="B51" s="90" t="s">
        <v>70</v>
      </c>
      <c r="C51" s="90"/>
      <c r="D51" s="9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135"/>
      <c r="R51" s="91"/>
      <c r="S51" s="136"/>
      <c r="T51" s="91"/>
      <c r="U51" s="91"/>
      <c r="V51" s="91"/>
      <c r="X51" s="91"/>
      <c r="Y51" s="91"/>
    </row>
    <row r="52" spans="1:25" s="119" customFormat="1" ht="12" customHeight="1" x14ac:dyDescent="0.2">
      <c r="A52" s="90" t="s">
        <v>100</v>
      </c>
      <c r="B52" s="90"/>
      <c r="C52" s="90"/>
      <c r="E52" s="155">
        <f t="shared" ref="E52:Q52" si="18">E50+E40+E31+E19</f>
        <v>0</v>
      </c>
      <c r="F52" s="155">
        <f t="shared" si="18"/>
        <v>159391.16105797293</v>
      </c>
      <c r="G52" s="155">
        <f t="shared" si="18"/>
        <v>234347.90669673294</v>
      </c>
      <c r="H52" s="155">
        <f t="shared" si="18"/>
        <v>284931.8079313882</v>
      </c>
      <c r="I52" s="155">
        <f t="shared" si="18"/>
        <v>579200.83232400066</v>
      </c>
      <c r="J52" s="155">
        <f t="shared" si="18"/>
        <v>377062.81003200071</v>
      </c>
      <c r="K52" s="155">
        <f t="shared" si="18"/>
        <v>441317.58347400074</v>
      </c>
      <c r="L52" s="155">
        <f t="shared" si="18"/>
        <v>276775.33232400072</v>
      </c>
      <c r="M52" s="155">
        <f t="shared" si="18"/>
        <v>398425.59691120905</v>
      </c>
      <c r="N52" s="155">
        <f t="shared" si="18"/>
        <v>476228.39575698902</v>
      </c>
      <c r="O52" s="155">
        <f t="shared" si="18"/>
        <v>405038.15710698906</v>
      </c>
      <c r="P52" s="155">
        <f t="shared" si="18"/>
        <v>335148.31960698904</v>
      </c>
      <c r="Q52" s="154">
        <f t="shared" si="18"/>
        <v>1241085.2785247266</v>
      </c>
      <c r="R52" s="156"/>
      <c r="S52" s="157">
        <f>S50+S40+S31+S19</f>
        <v>5208953.1817469997</v>
      </c>
      <c r="T52" s="158"/>
      <c r="U52" s="159">
        <f>U50+U40+U31+U19</f>
        <v>5208953.1817469997</v>
      </c>
      <c r="V52" s="159">
        <f>V50+V40+V31+V19</f>
        <v>0</v>
      </c>
      <c r="W52" s="94"/>
      <c r="X52" s="159">
        <f>X50+X40+X31+X19</f>
        <v>4470309.6348260688</v>
      </c>
      <c r="Y52" s="159">
        <f>Y50+Y40+Y31+Y19</f>
        <v>738643.54692093097</v>
      </c>
    </row>
    <row r="53" spans="1:25" s="94" customFormat="1" ht="12" customHeight="1" x14ac:dyDescent="0.2">
      <c r="A53" s="119"/>
      <c r="B53" s="119" t="s">
        <v>70</v>
      </c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46"/>
      <c r="R53" s="125"/>
      <c r="S53" s="136"/>
      <c r="T53" s="125"/>
      <c r="U53" s="125"/>
      <c r="V53" s="125"/>
      <c r="X53" s="125"/>
      <c r="Y53" s="125"/>
    </row>
    <row r="54" spans="1:25" s="94" customFormat="1" ht="12" customHeight="1" x14ac:dyDescent="0.2">
      <c r="A54" s="119" t="s">
        <v>101</v>
      </c>
      <c r="B54" s="119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46"/>
      <c r="R54" s="125"/>
      <c r="S54" s="136"/>
      <c r="T54" s="125"/>
      <c r="U54" s="125"/>
      <c r="V54" s="125"/>
      <c r="X54" s="125"/>
      <c r="Y54" s="125"/>
    </row>
    <row r="55" spans="1:25" s="94" customFormat="1" ht="12" customHeight="1" x14ac:dyDescent="0.2">
      <c r="A55" s="119"/>
      <c r="B55" s="119" t="s">
        <v>102</v>
      </c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46"/>
      <c r="R55" s="125"/>
      <c r="S55" s="136"/>
      <c r="T55" s="125"/>
      <c r="U55" s="125"/>
      <c r="V55" s="125"/>
      <c r="X55" s="125"/>
      <c r="Y55" s="125"/>
    </row>
    <row r="56" spans="1:25" s="94" customFormat="1" ht="12" customHeight="1" x14ac:dyDescent="0.2">
      <c r="A56" s="160"/>
      <c r="B56" s="160" t="s">
        <v>70</v>
      </c>
      <c r="C56" s="121">
        <v>1100</v>
      </c>
      <c r="D56" s="128" t="s">
        <v>103</v>
      </c>
      <c r="E56" s="125">
        <v>0</v>
      </c>
      <c r="F56" s="125">
        <v>71123.438818181821</v>
      </c>
      <c r="G56" s="125">
        <v>71123.438818181821</v>
      </c>
      <c r="H56" s="125">
        <v>71123.438818181821</v>
      </c>
      <c r="I56" s="125">
        <v>71123.438818181821</v>
      </c>
      <c r="J56" s="125">
        <v>71123.438818181821</v>
      </c>
      <c r="K56" s="125">
        <v>71123.438818181821</v>
      </c>
      <c r="L56" s="125">
        <v>71123.438818181821</v>
      </c>
      <c r="M56" s="125">
        <v>71123.438818181821</v>
      </c>
      <c r="N56" s="125">
        <v>71123.438818181821</v>
      </c>
      <c r="O56" s="125">
        <v>71123.438818181821</v>
      </c>
      <c r="P56" s="125">
        <v>71123.438818181821</v>
      </c>
      <c r="Q56" s="146">
        <v>0</v>
      </c>
      <c r="R56" s="125"/>
      <c r="S56" s="124">
        <f t="shared" ref="S56:S61" si="19">SUM(E56:Q56)</f>
        <v>782357.82700000016</v>
      </c>
      <c r="T56" s="125"/>
      <c r="U56" s="125">
        <f t="shared" si="8"/>
        <v>782357.82700000016</v>
      </c>
      <c r="V56" s="125">
        <f>U56-S56</f>
        <v>0</v>
      </c>
      <c r="X56" s="125">
        <v>802276.74778181803</v>
      </c>
      <c r="Y56" s="125">
        <f>X56-S56</f>
        <v>19918.920781817869</v>
      </c>
    </row>
    <row r="57" spans="1:25" s="94" customFormat="1" ht="12" customHeight="1" x14ac:dyDescent="0.2">
      <c r="A57" s="160"/>
      <c r="B57" s="160" t="s">
        <v>70</v>
      </c>
      <c r="C57" s="121">
        <v>1170</v>
      </c>
      <c r="D57" s="128" t="s">
        <v>104</v>
      </c>
      <c r="E57" s="125">
        <v>0</v>
      </c>
      <c r="F57" s="125">
        <v>4809</v>
      </c>
      <c r="G57" s="125">
        <v>4809</v>
      </c>
      <c r="H57" s="125">
        <v>4809</v>
      </c>
      <c r="I57" s="125">
        <v>4809</v>
      </c>
      <c r="J57" s="125">
        <v>4809</v>
      </c>
      <c r="K57" s="125">
        <v>4809</v>
      </c>
      <c r="L57" s="125">
        <v>4809</v>
      </c>
      <c r="M57" s="125">
        <v>4809</v>
      </c>
      <c r="N57" s="125">
        <v>4809</v>
      </c>
      <c r="O57" s="125">
        <v>4809</v>
      </c>
      <c r="P57" s="125">
        <v>4809</v>
      </c>
      <c r="Q57" s="146">
        <v>0</v>
      </c>
      <c r="R57" s="125"/>
      <c r="S57" s="124">
        <f t="shared" si="19"/>
        <v>52899</v>
      </c>
      <c r="T57" s="125"/>
      <c r="U57" s="125">
        <f t="shared" si="8"/>
        <v>52899</v>
      </c>
      <c r="V57" s="125">
        <f t="shared" ref="V57:V61" si="20">U57-S57</f>
        <v>0</v>
      </c>
      <c r="X57" s="125">
        <v>32790</v>
      </c>
      <c r="Y57" s="125">
        <f t="shared" ref="Y57:Y61" si="21">X57-S57</f>
        <v>-20109</v>
      </c>
    </row>
    <row r="58" spans="1:25" s="94" customFormat="1" ht="12" customHeight="1" x14ac:dyDescent="0.2">
      <c r="A58" s="160"/>
      <c r="B58" s="160" t="s">
        <v>70</v>
      </c>
      <c r="C58" s="121">
        <v>1175</v>
      </c>
      <c r="D58" s="128" t="s">
        <v>105</v>
      </c>
      <c r="E58" s="125">
        <v>0</v>
      </c>
      <c r="F58" s="125">
        <v>3360</v>
      </c>
      <c r="G58" s="125">
        <v>3360</v>
      </c>
      <c r="H58" s="125">
        <v>3360</v>
      </c>
      <c r="I58" s="125">
        <v>3360</v>
      </c>
      <c r="J58" s="125">
        <v>3360</v>
      </c>
      <c r="K58" s="125">
        <v>3360</v>
      </c>
      <c r="L58" s="125">
        <v>3360</v>
      </c>
      <c r="M58" s="125">
        <v>3360</v>
      </c>
      <c r="N58" s="125">
        <v>3360</v>
      </c>
      <c r="O58" s="125">
        <v>3360</v>
      </c>
      <c r="P58" s="125">
        <v>3360</v>
      </c>
      <c r="Q58" s="146">
        <v>0</v>
      </c>
      <c r="R58" s="125"/>
      <c r="S58" s="124">
        <f t="shared" si="19"/>
        <v>36960</v>
      </c>
      <c r="T58" s="125"/>
      <c r="U58" s="125">
        <f t="shared" si="8"/>
        <v>36960</v>
      </c>
      <c r="V58" s="125">
        <f t="shared" si="20"/>
        <v>0</v>
      </c>
      <c r="X58" s="125">
        <v>28069.860000000004</v>
      </c>
      <c r="Y58" s="125">
        <f t="shared" si="21"/>
        <v>-8890.1399999999958</v>
      </c>
    </row>
    <row r="59" spans="1:25" s="94" customFormat="1" ht="12" customHeight="1" x14ac:dyDescent="0.2">
      <c r="A59" s="161"/>
      <c r="B59" s="161" t="s">
        <v>70</v>
      </c>
      <c r="C59" s="121">
        <v>1200</v>
      </c>
      <c r="D59" s="128" t="s">
        <v>106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46">
        <v>0</v>
      </c>
      <c r="R59" s="125"/>
      <c r="S59" s="124">
        <f t="shared" si="19"/>
        <v>0</v>
      </c>
      <c r="T59" s="125"/>
      <c r="U59" s="125">
        <f t="shared" si="8"/>
        <v>0</v>
      </c>
      <c r="V59" s="125">
        <f t="shared" si="20"/>
        <v>0</v>
      </c>
      <c r="X59" s="125">
        <v>0</v>
      </c>
      <c r="Y59" s="125">
        <f t="shared" si="21"/>
        <v>0</v>
      </c>
    </row>
    <row r="60" spans="1:25" s="94" customFormat="1" ht="12" customHeight="1" x14ac:dyDescent="0.2">
      <c r="A60" s="160"/>
      <c r="B60" s="160" t="s">
        <v>70</v>
      </c>
      <c r="C60" s="121">
        <v>1300</v>
      </c>
      <c r="D60" s="128" t="s">
        <v>107</v>
      </c>
      <c r="E60" s="125">
        <v>0</v>
      </c>
      <c r="F60" s="125">
        <v>35837.300863636359</v>
      </c>
      <c r="G60" s="125">
        <v>35837.300863636359</v>
      </c>
      <c r="H60" s="125">
        <v>35837.300863636359</v>
      </c>
      <c r="I60" s="125">
        <v>35837.300863636359</v>
      </c>
      <c r="J60" s="125">
        <v>35837.300863636359</v>
      </c>
      <c r="K60" s="125">
        <v>35837.300863636359</v>
      </c>
      <c r="L60" s="125">
        <v>35837.300863636359</v>
      </c>
      <c r="M60" s="125">
        <v>35837.300863636359</v>
      </c>
      <c r="N60" s="125">
        <v>35837.300863636359</v>
      </c>
      <c r="O60" s="125">
        <v>35837.300863636359</v>
      </c>
      <c r="P60" s="125">
        <v>35837.300863636359</v>
      </c>
      <c r="Q60" s="146">
        <v>0</v>
      </c>
      <c r="R60" s="125"/>
      <c r="S60" s="124">
        <f t="shared" si="19"/>
        <v>394210.30949999997</v>
      </c>
      <c r="T60" s="125"/>
      <c r="U60" s="125">
        <f t="shared" si="8"/>
        <v>394210.30949999997</v>
      </c>
      <c r="V60" s="125">
        <f t="shared" si="20"/>
        <v>0</v>
      </c>
      <c r="X60" s="125">
        <v>386569.36040000006</v>
      </c>
      <c r="Y60" s="125">
        <f t="shared" si="21"/>
        <v>-7640.9490999999107</v>
      </c>
    </row>
    <row r="61" spans="1:25" s="94" customFormat="1" ht="12" customHeight="1" x14ac:dyDescent="0.2">
      <c r="A61" s="161"/>
      <c r="B61" s="161" t="s">
        <v>70</v>
      </c>
      <c r="C61" s="121">
        <v>1900</v>
      </c>
      <c r="D61" s="128" t="s">
        <v>108</v>
      </c>
      <c r="E61" s="125">
        <v>0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46">
        <v>0</v>
      </c>
      <c r="R61" s="125"/>
      <c r="S61" s="124">
        <f t="shared" si="19"/>
        <v>0</v>
      </c>
      <c r="T61" s="125"/>
      <c r="U61" s="125">
        <f t="shared" si="8"/>
        <v>0</v>
      </c>
      <c r="V61" s="125">
        <f t="shared" si="20"/>
        <v>0</v>
      </c>
      <c r="X61" s="125">
        <v>0</v>
      </c>
      <c r="Y61" s="125">
        <f t="shared" si="21"/>
        <v>0</v>
      </c>
    </row>
    <row r="62" spans="1:25" s="94" customFormat="1" ht="12" customHeight="1" x14ac:dyDescent="0.2">
      <c r="A62" s="161"/>
      <c r="B62" s="161" t="s">
        <v>70</v>
      </c>
      <c r="C62" s="121"/>
      <c r="D62" s="128"/>
      <c r="E62" s="131">
        <f>SUM(E56:E61)</f>
        <v>0</v>
      </c>
      <c r="F62" s="131">
        <f t="shared" ref="F62:S62" si="22">SUM(F56:F61)</f>
        <v>115129.73968181817</v>
      </c>
      <c r="G62" s="131">
        <f t="shared" si="22"/>
        <v>115129.73968181817</v>
      </c>
      <c r="H62" s="131">
        <f t="shared" si="22"/>
        <v>115129.73968181817</v>
      </c>
      <c r="I62" s="131">
        <f t="shared" si="22"/>
        <v>115129.73968181817</v>
      </c>
      <c r="J62" s="131">
        <f t="shared" si="22"/>
        <v>115129.73968181817</v>
      </c>
      <c r="K62" s="131">
        <f t="shared" si="22"/>
        <v>115129.73968181817</v>
      </c>
      <c r="L62" s="131">
        <f t="shared" si="22"/>
        <v>115129.73968181817</v>
      </c>
      <c r="M62" s="131">
        <f t="shared" si="22"/>
        <v>115129.73968181817</v>
      </c>
      <c r="N62" s="131">
        <f t="shared" si="22"/>
        <v>115129.73968181817</v>
      </c>
      <c r="O62" s="131">
        <f t="shared" si="22"/>
        <v>115129.73968181817</v>
      </c>
      <c r="P62" s="131">
        <f t="shared" si="22"/>
        <v>115129.73968181817</v>
      </c>
      <c r="Q62" s="130">
        <f t="shared" si="22"/>
        <v>0</v>
      </c>
      <c r="R62" s="125">
        <f t="shared" si="22"/>
        <v>0</v>
      </c>
      <c r="S62" s="132">
        <f t="shared" si="22"/>
        <v>1266427.1365</v>
      </c>
      <c r="T62" s="125"/>
      <c r="U62" s="133">
        <f>SUM(U56:U61)</f>
        <v>1266427.1365</v>
      </c>
      <c r="V62" s="133">
        <f>SUM(V56:V61)</f>
        <v>0</v>
      </c>
      <c r="X62" s="133">
        <f>SUM(X56:X61)</f>
        <v>1249705.968181818</v>
      </c>
      <c r="Y62" s="133">
        <f>SUM(Y56:Y61)</f>
        <v>-16721.168318182037</v>
      </c>
    </row>
    <row r="63" spans="1:25" s="94" customFormat="1" ht="12" customHeight="1" x14ac:dyDescent="0.2">
      <c r="A63" s="161"/>
      <c r="B63" s="161" t="s">
        <v>109</v>
      </c>
      <c r="C63" s="121"/>
      <c r="D63" s="128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46"/>
      <c r="R63" s="125"/>
      <c r="S63" s="124"/>
      <c r="T63" s="125"/>
      <c r="U63" s="125"/>
      <c r="V63" s="125"/>
      <c r="X63" s="125"/>
      <c r="Y63" s="125"/>
    </row>
    <row r="64" spans="1:25" s="94" customFormat="1" ht="12" customHeight="1" x14ac:dyDescent="0.2">
      <c r="A64" s="161"/>
      <c r="B64" s="161" t="s">
        <v>70</v>
      </c>
      <c r="C64" s="121">
        <v>2100</v>
      </c>
      <c r="D64" s="128" t="s">
        <v>110</v>
      </c>
      <c r="E64" s="125">
        <v>0</v>
      </c>
      <c r="F64" s="125">
        <v>26253.81818181818</v>
      </c>
      <c r="G64" s="125">
        <v>26253.81818181818</v>
      </c>
      <c r="H64" s="125">
        <v>26253.81818181818</v>
      </c>
      <c r="I64" s="125">
        <v>26253.81818181818</v>
      </c>
      <c r="J64" s="125">
        <v>26253.81818181818</v>
      </c>
      <c r="K64" s="125">
        <v>26253.81818181818</v>
      </c>
      <c r="L64" s="125">
        <v>26253.81818181818</v>
      </c>
      <c r="M64" s="125">
        <v>26253.81818181818</v>
      </c>
      <c r="N64" s="125">
        <v>26253.81818181818</v>
      </c>
      <c r="O64" s="125">
        <v>26253.81818181818</v>
      </c>
      <c r="P64" s="125">
        <v>26253.81818181818</v>
      </c>
      <c r="Q64" s="146">
        <v>0</v>
      </c>
      <c r="R64" s="125"/>
      <c r="S64" s="124">
        <f t="shared" ref="S64:S68" si="23">SUM(E64:Q64)</f>
        <v>288792</v>
      </c>
      <c r="T64" s="125"/>
      <c r="U64" s="125">
        <f t="shared" si="8"/>
        <v>288792</v>
      </c>
      <c r="V64" s="125">
        <f t="shared" ref="V64:V68" si="24">U64-S64</f>
        <v>0</v>
      </c>
      <c r="X64" s="125">
        <v>211306.04030891444</v>
      </c>
      <c r="Y64" s="125">
        <f t="shared" ref="Y64:Y68" si="25">X64-S64</f>
        <v>-77485.959691085562</v>
      </c>
    </row>
    <row r="65" spans="1:26" s="94" customFormat="1" ht="12" customHeight="1" x14ac:dyDescent="0.2">
      <c r="A65" s="161"/>
      <c r="B65" s="161" t="s">
        <v>70</v>
      </c>
      <c r="C65" s="121">
        <v>2200</v>
      </c>
      <c r="D65" s="128" t="s">
        <v>111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46">
        <v>0</v>
      </c>
      <c r="R65" s="125"/>
      <c r="S65" s="124">
        <f t="shared" si="23"/>
        <v>0</v>
      </c>
      <c r="T65" s="125"/>
      <c r="U65" s="125">
        <f t="shared" si="8"/>
        <v>0</v>
      </c>
      <c r="V65" s="125">
        <f t="shared" si="24"/>
        <v>0</v>
      </c>
      <c r="X65" s="125">
        <v>0</v>
      </c>
      <c r="Y65" s="125">
        <f t="shared" si="25"/>
        <v>0</v>
      </c>
    </row>
    <row r="66" spans="1:26" s="94" customFormat="1" ht="12" customHeight="1" x14ac:dyDescent="0.15">
      <c r="A66" s="161"/>
      <c r="B66" s="161" t="s">
        <v>70</v>
      </c>
      <c r="C66" s="121">
        <v>2300</v>
      </c>
      <c r="D66" s="128" t="s">
        <v>112</v>
      </c>
      <c r="E66" s="125">
        <v>1000</v>
      </c>
      <c r="F66" s="125">
        <v>1000</v>
      </c>
      <c r="G66" s="125">
        <v>1000</v>
      </c>
      <c r="H66" s="125">
        <v>1000</v>
      </c>
      <c r="I66" s="125">
        <v>1000</v>
      </c>
      <c r="J66" s="125">
        <v>1000</v>
      </c>
      <c r="K66" s="125">
        <v>1000</v>
      </c>
      <c r="L66" s="125">
        <v>1000</v>
      </c>
      <c r="M66" s="125">
        <v>1000</v>
      </c>
      <c r="N66" s="125">
        <v>1000</v>
      </c>
      <c r="O66" s="125">
        <v>1000</v>
      </c>
      <c r="P66" s="125">
        <v>1000</v>
      </c>
      <c r="Q66" s="146">
        <v>0</v>
      </c>
      <c r="R66" s="125"/>
      <c r="S66" s="124">
        <f t="shared" si="23"/>
        <v>12000</v>
      </c>
      <c r="T66" s="125"/>
      <c r="U66" s="125">
        <f t="shared" si="8"/>
        <v>12000</v>
      </c>
      <c r="V66" s="125">
        <f t="shared" si="24"/>
        <v>0</v>
      </c>
      <c r="X66" s="125">
        <v>69981.603399999993</v>
      </c>
      <c r="Y66" s="125">
        <f t="shared" si="25"/>
        <v>57981.603399999993</v>
      </c>
    </row>
    <row r="67" spans="1:26" s="94" customFormat="1" ht="12" customHeight="1" x14ac:dyDescent="0.2">
      <c r="A67" s="161"/>
      <c r="B67" s="161" t="s">
        <v>70</v>
      </c>
      <c r="C67" s="121">
        <v>2400</v>
      </c>
      <c r="D67" s="137" t="s">
        <v>113</v>
      </c>
      <c r="E67" s="125">
        <v>8402.3333333333339</v>
      </c>
      <c r="F67" s="125">
        <v>8402.3333333333339</v>
      </c>
      <c r="G67" s="125">
        <v>8402.3333333333339</v>
      </c>
      <c r="H67" s="125">
        <v>8402.3333333333339</v>
      </c>
      <c r="I67" s="125">
        <v>8402.3333333333339</v>
      </c>
      <c r="J67" s="125">
        <v>8402.3333333333339</v>
      </c>
      <c r="K67" s="125">
        <v>8402.3333333333339</v>
      </c>
      <c r="L67" s="125">
        <v>8402.3333333333339</v>
      </c>
      <c r="M67" s="125">
        <v>8402.3333333333339</v>
      </c>
      <c r="N67" s="125">
        <v>8402.3333333333339</v>
      </c>
      <c r="O67" s="125">
        <v>8402.3333333333339</v>
      </c>
      <c r="P67" s="125">
        <v>8402.3333333333339</v>
      </c>
      <c r="Q67" s="146">
        <v>0</v>
      </c>
      <c r="R67" s="162"/>
      <c r="S67" s="124">
        <f t="shared" si="23"/>
        <v>100827.99999999999</v>
      </c>
      <c r="T67" s="125"/>
      <c r="U67" s="125">
        <f t="shared" si="8"/>
        <v>100827.99999999999</v>
      </c>
      <c r="V67" s="125">
        <f t="shared" si="24"/>
        <v>0</v>
      </c>
      <c r="X67" s="125">
        <v>47757.08</v>
      </c>
      <c r="Y67" s="125">
        <f t="shared" si="25"/>
        <v>-53070.919999999984</v>
      </c>
    </row>
    <row r="68" spans="1:26" s="94" customFormat="1" ht="12" customHeight="1" x14ac:dyDescent="0.2">
      <c r="A68" s="161"/>
      <c r="B68" s="161" t="s">
        <v>70</v>
      </c>
      <c r="C68" s="121">
        <v>2900</v>
      </c>
      <c r="D68" s="128" t="s">
        <v>114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</v>
      </c>
      <c r="O68" s="125">
        <v>0</v>
      </c>
      <c r="P68" s="125">
        <v>0</v>
      </c>
      <c r="Q68" s="146">
        <v>0</v>
      </c>
      <c r="R68" s="125"/>
      <c r="S68" s="124">
        <f t="shared" si="23"/>
        <v>0</v>
      </c>
      <c r="T68" s="125"/>
      <c r="U68" s="125">
        <f t="shared" si="8"/>
        <v>0</v>
      </c>
      <c r="V68" s="125">
        <f t="shared" si="24"/>
        <v>0</v>
      </c>
      <c r="X68" s="125">
        <v>0</v>
      </c>
      <c r="Y68" s="125">
        <f t="shared" si="25"/>
        <v>0</v>
      </c>
    </row>
    <row r="69" spans="1:26" s="94" customFormat="1" ht="12" customHeight="1" x14ac:dyDescent="0.2">
      <c r="A69" s="161"/>
      <c r="B69" s="161" t="s">
        <v>70</v>
      </c>
      <c r="C69" s="163"/>
      <c r="D69" s="163"/>
      <c r="E69" s="131">
        <f>SUM(E64:E68)</f>
        <v>9402.3333333333339</v>
      </c>
      <c r="F69" s="131">
        <f t="shared" ref="F69:R69" si="26">SUM(F64:F68)</f>
        <v>35656.151515151512</v>
      </c>
      <c r="G69" s="131">
        <f t="shared" si="26"/>
        <v>35656.151515151512</v>
      </c>
      <c r="H69" s="131">
        <f t="shared" si="26"/>
        <v>35656.151515151512</v>
      </c>
      <c r="I69" s="131">
        <f t="shared" si="26"/>
        <v>35656.151515151512</v>
      </c>
      <c r="J69" s="131">
        <f t="shared" si="26"/>
        <v>35656.151515151512</v>
      </c>
      <c r="K69" s="131">
        <f t="shared" si="26"/>
        <v>35656.151515151512</v>
      </c>
      <c r="L69" s="131">
        <f t="shared" si="26"/>
        <v>35656.151515151512</v>
      </c>
      <c r="M69" s="131">
        <f t="shared" si="26"/>
        <v>35656.151515151512</v>
      </c>
      <c r="N69" s="131">
        <f t="shared" si="26"/>
        <v>35656.151515151512</v>
      </c>
      <c r="O69" s="131">
        <f t="shared" si="26"/>
        <v>35656.151515151512</v>
      </c>
      <c r="P69" s="131">
        <f t="shared" si="26"/>
        <v>35656.151515151512</v>
      </c>
      <c r="Q69" s="130">
        <f t="shared" si="26"/>
        <v>0</v>
      </c>
      <c r="R69" s="125">
        <f t="shared" si="26"/>
        <v>0</v>
      </c>
      <c r="S69" s="132">
        <f>SUM(S64:S68)</f>
        <v>401620</v>
      </c>
      <c r="T69" s="125"/>
      <c r="U69" s="133">
        <f>SUM(U64:U68)</f>
        <v>401620</v>
      </c>
      <c r="V69" s="133">
        <f>SUM(V64:V68)</f>
        <v>0</v>
      </c>
      <c r="X69" s="133">
        <f>SUM(X64:X68)</f>
        <v>329044.72370891442</v>
      </c>
      <c r="Y69" s="133">
        <f>SUM(Y64:Y68)</f>
        <v>-72575.276291085553</v>
      </c>
    </row>
    <row r="70" spans="1:26" s="94" customFormat="1" ht="12" customHeight="1" x14ac:dyDescent="0.2">
      <c r="A70" s="161"/>
      <c r="B70" s="161" t="s">
        <v>115</v>
      </c>
      <c r="C70" s="163"/>
      <c r="D70" s="163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46"/>
      <c r="R70" s="125"/>
      <c r="S70" s="136"/>
      <c r="T70" s="125"/>
      <c r="U70" s="125"/>
      <c r="V70" s="125"/>
      <c r="X70" s="125"/>
      <c r="Y70" s="125"/>
    </row>
    <row r="71" spans="1:26" s="94" customFormat="1" ht="12" customHeight="1" x14ac:dyDescent="0.2">
      <c r="A71" s="161"/>
      <c r="B71" s="161" t="s">
        <v>70</v>
      </c>
      <c r="C71" s="121">
        <v>3101</v>
      </c>
      <c r="D71" s="137" t="s">
        <v>116</v>
      </c>
      <c r="E71" s="125">
        <v>0</v>
      </c>
      <c r="F71" s="125">
        <v>21989.781147409089</v>
      </c>
      <c r="G71" s="125">
        <v>21989.781147409089</v>
      </c>
      <c r="H71" s="125">
        <v>21989.781147409089</v>
      </c>
      <c r="I71" s="125">
        <v>21989.781147409089</v>
      </c>
      <c r="J71" s="125">
        <v>21989.781147409089</v>
      </c>
      <c r="K71" s="125">
        <v>21989.781147409089</v>
      </c>
      <c r="L71" s="125">
        <v>21989.781147409089</v>
      </c>
      <c r="M71" s="125">
        <v>21989.781147409089</v>
      </c>
      <c r="N71" s="125">
        <v>21989.781147409089</v>
      </c>
      <c r="O71" s="125">
        <v>21989.781147409089</v>
      </c>
      <c r="P71" s="125">
        <v>21989.781147409089</v>
      </c>
      <c r="Q71" s="146">
        <v>0</v>
      </c>
      <c r="R71" s="125"/>
      <c r="S71" s="124">
        <f t="shared" ref="S71:S78" si="27">SUM(E71:Q71)</f>
        <v>241887.59262149996</v>
      </c>
      <c r="T71" s="125"/>
      <c r="U71" s="125">
        <f t="shared" si="8"/>
        <v>241887.59262149996</v>
      </c>
      <c r="V71" s="125">
        <f t="shared" ref="V71:V78" si="28">U71-S71</f>
        <v>0</v>
      </c>
      <c r="X71" s="125">
        <v>206644.53729777446</v>
      </c>
      <c r="Y71" s="125">
        <f t="shared" ref="Y71:Y78" si="29">X71-S71</f>
        <v>-35243.055323725508</v>
      </c>
      <c r="Z71" s="125"/>
    </row>
    <row r="72" spans="1:26" s="94" customFormat="1" ht="12" customHeight="1" x14ac:dyDescent="0.2">
      <c r="A72" s="161"/>
      <c r="B72" s="161" t="s">
        <v>70</v>
      </c>
      <c r="C72" s="121">
        <v>3202</v>
      </c>
      <c r="D72" s="137" t="s">
        <v>117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5">
        <v>0</v>
      </c>
      <c r="O72" s="125">
        <v>0</v>
      </c>
      <c r="P72" s="125">
        <v>0</v>
      </c>
      <c r="Q72" s="146">
        <v>0</v>
      </c>
      <c r="R72" s="125"/>
      <c r="S72" s="124">
        <f t="shared" si="27"/>
        <v>0</v>
      </c>
      <c r="T72" s="125"/>
      <c r="U72" s="125">
        <f t="shared" si="8"/>
        <v>0</v>
      </c>
      <c r="V72" s="125">
        <f t="shared" si="28"/>
        <v>0</v>
      </c>
      <c r="X72" s="125">
        <v>0</v>
      </c>
      <c r="Y72" s="125">
        <f t="shared" si="29"/>
        <v>0</v>
      </c>
      <c r="Z72" s="125"/>
    </row>
    <row r="73" spans="1:26" s="94" customFormat="1" ht="12" customHeight="1" x14ac:dyDescent="0.2">
      <c r="A73" s="161"/>
      <c r="B73" s="161" t="s">
        <v>70</v>
      </c>
      <c r="C73" s="121">
        <v>3301</v>
      </c>
      <c r="D73" s="137" t="s">
        <v>118</v>
      </c>
      <c r="E73" s="125">
        <v>582.94466666666665</v>
      </c>
      <c r="F73" s="125">
        <v>2210.6813939393937</v>
      </c>
      <c r="G73" s="125">
        <v>2210.6813939393937</v>
      </c>
      <c r="H73" s="125">
        <v>2210.6813939393937</v>
      </c>
      <c r="I73" s="125">
        <v>2210.6813939393937</v>
      </c>
      <c r="J73" s="125">
        <v>2210.6813939393937</v>
      </c>
      <c r="K73" s="125">
        <v>2210.6813939393937</v>
      </c>
      <c r="L73" s="125">
        <v>2210.6813939393937</v>
      </c>
      <c r="M73" s="125">
        <v>2210.6813939393937</v>
      </c>
      <c r="N73" s="125">
        <v>2210.6813939393937</v>
      </c>
      <c r="O73" s="125">
        <v>2210.6813939393937</v>
      </c>
      <c r="P73" s="125">
        <v>2210.6813939393937</v>
      </c>
      <c r="Q73" s="146">
        <v>0</v>
      </c>
      <c r="R73" s="125"/>
      <c r="S73" s="124">
        <f t="shared" si="27"/>
        <v>24900.440000000002</v>
      </c>
      <c r="T73" s="125"/>
      <c r="U73" s="125">
        <f t="shared" si="8"/>
        <v>24900.440000000002</v>
      </c>
      <c r="V73" s="125">
        <f t="shared" si="28"/>
        <v>0</v>
      </c>
      <c r="X73" s="125">
        <v>20800.113408850531</v>
      </c>
      <c r="Y73" s="125">
        <f t="shared" si="29"/>
        <v>-4100.3265911494709</v>
      </c>
      <c r="Z73" s="125"/>
    </row>
    <row r="74" spans="1:26" s="94" customFormat="1" ht="12" customHeight="1" x14ac:dyDescent="0.2">
      <c r="A74" s="161"/>
      <c r="B74" s="161" t="s">
        <v>70</v>
      </c>
      <c r="C74" s="121">
        <v>3311</v>
      </c>
      <c r="D74" s="137" t="s">
        <v>119</v>
      </c>
      <c r="E74" s="125">
        <v>136.33383333333336</v>
      </c>
      <c r="F74" s="125">
        <v>2186.3954223560604</v>
      </c>
      <c r="G74" s="125">
        <v>2186.3954223560604</v>
      </c>
      <c r="H74" s="125">
        <v>2186.3954223560604</v>
      </c>
      <c r="I74" s="125">
        <v>2186.3954223560604</v>
      </c>
      <c r="J74" s="125">
        <v>2186.3954223560604</v>
      </c>
      <c r="K74" s="125">
        <v>2186.3954223560604</v>
      </c>
      <c r="L74" s="125">
        <v>2186.3954223560604</v>
      </c>
      <c r="M74" s="125">
        <v>2186.3954223560604</v>
      </c>
      <c r="N74" s="125">
        <v>2186.3954223560604</v>
      </c>
      <c r="O74" s="125">
        <v>2186.3954223560604</v>
      </c>
      <c r="P74" s="125">
        <v>2186.3954223560604</v>
      </c>
      <c r="Q74" s="146">
        <v>0</v>
      </c>
      <c r="R74" s="125"/>
      <c r="S74" s="124">
        <f t="shared" si="27"/>
        <v>24186.683479250005</v>
      </c>
      <c r="T74" s="125"/>
      <c r="U74" s="125">
        <f t="shared" si="8"/>
        <v>24186.683479250005</v>
      </c>
      <c r="V74" s="125">
        <f t="shared" si="28"/>
        <v>0</v>
      </c>
      <c r="X74" s="125">
        <v>22688.170986925306</v>
      </c>
      <c r="Y74" s="125">
        <f t="shared" si="29"/>
        <v>-1498.5124923246985</v>
      </c>
      <c r="Z74" s="125"/>
    </row>
    <row r="75" spans="1:26" s="94" customFormat="1" ht="12" customHeight="1" x14ac:dyDescent="0.2">
      <c r="A75" s="161"/>
      <c r="B75" s="161" t="s">
        <v>70</v>
      </c>
      <c r="C75" s="121">
        <v>3401</v>
      </c>
      <c r="D75" s="137" t="s">
        <v>120</v>
      </c>
      <c r="E75" s="125">
        <v>12937.5</v>
      </c>
      <c r="F75" s="125">
        <v>12937.5</v>
      </c>
      <c r="G75" s="125">
        <v>12937.5</v>
      </c>
      <c r="H75" s="125">
        <v>12937.5</v>
      </c>
      <c r="I75" s="125">
        <v>12937.5</v>
      </c>
      <c r="J75" s="125">
        <v>12937.5</v>
      </c>
      <c r="K75" s="125">
        <v>12937.5</v>
      </c>
      <c r="L75" s="125">
        <v>12937.5</v>
      </c>
      <c r="M75" s="125">
        <v>12937.5</v>
      </c>
      <c r="N75" s="125">
        <v>12937.5</v>
      </c>
      <c r="O75" s="125">
        <v>12937.5</v>
      </c>
      <c r="P75" s="125">
        <v>12937.5</v>
      </c>
      <c r="Q75" s="146">
        <v>0</v>
      </c>
      <c r="R75" s="125"/>
      <c r="S75" s="124">
        <f t="shared" si="27"/>
        <v>155250</v>
      </c>
      <c r="T75" s="125"/>
      <c r="U75" s="125">
        <f t="shared" si="8"/>
        <v>155250</v>
      </c>
      <c r="V75" s="125">
        <f t="shared" si="28"/>
        <v>0</v>
      </c>
      <c r="X75" s="125">
        <v>163876.04000000004</v>
      </c>
      <c r="Y75" s="125">
        <f t="shared" si="29"/>
        <v>8626.0400000000373</v>
      </c>
      <c r="Z75" s="125"/>
    </row>
    <row r="76" spans="1:26" s="94" customFormat="1" ht="12" customHeight="1" x14ac:dyDescent="0.2">
      <c r="A76" s="161"/>
      <c r="B76" s="161" t="s">
        <v>70</v>
      </c>
      <c r="C76" s="121">
        <v>3501</v>
      </c>
      <c r="D76" s="137" t="s">
        <v>121</v>
      </c>
      <c r="E76" s="164">
        <v>661.50000000000011</v>
      </c>
      <c r="F76" s="164">
        <v>661.50000000000011</v>
      </c>
      <c r="G76" s="164">
        <v>661.50000000000011</v>
      </c>
      <c r="H76" s="164">
        <v>661.50000000000011</v>
      </c>
      <c r="I76" s="164">
        <v>661.50000000000011</v>
      </c>
      <c r="J76" s="164">
        <v>661.50000000000011</v>
      </c>
      <c r="K76" s="164">
        <v>3307.5000000000005</v>
      </c>
      <c r="L76" s="164">
        <v>2646.0000000000005</v>
      </c>
      <c r="M76" s="164">
        <v>1323.0000000000002</v>
      </c>
      <c r="N76" s="164">
        <v>661.50000000000011</v>
      </c>
      <c r="O76" s="164">
        <v>661.50000000000011</v>
      </c>
      <c r="P76" s="164">
        <v>661.50000000000011</v>
      </c>
      <c r="Q76" s="146">
        <v>0</v>
      </c>
      <c r="R76" s="125"/>
      <c r="S76" s="124">
        <f t="shared" si="27"/>
        <v>13230.000000000002</v>
      </c>
      <c r="T76" s="125"/>
      <c r="U76" s="125">
        <f t="shared" si="8"/>
        <v>13230.000000000002</v>
      </c>
      <c r="V76" s="125">
        <f t="shared" si="28"/>
        <v>0</v>
      </c>
      <c r="X76" s="125">
        <v>7792.73</v>
      </c>
      <c r="Y76" s="125">
        <f t="shared" si="29"/>
        <v>-5437.2700000000023</v>
      </c>
      <c r="Z76" s="125"/>
    </row>
    <row r="77" spans="1:26" s="94" customFormat="1" ht="12" customHeight="1" x14ac:dyDescent="0.2">
      <c r="A77" s="161"/>
      <c r="B77" s="161" t="s">
        <v>70</v>
      </c>
      <c r="C77" s="121">
        <v>3601</v>
      </c>
      <c r="D77" s="137" t="s">
        <v>122</v>
      </c>
      <c r="E77" s="125">
        <v>131.63266666666669</v>
      </c>
      <c r="F77" s="125">
        <v>2111.002476757576</v>
      </c>
      <c r="G77" s="125">
        <v>2111.002476757576</v>
      </c>
      <c r="H77" s="125">
        <v>2111.002476757576</v>
      </c>
      <c r="I77" s="125">
        <v>2111.002476757576</v>
      </c>
      <c r="J77" s="125">
        <v>2111.002476757576</v>
      </c>
      <c r="K77" s="125">
        <v>2111.002476757576</v>
      </c>
      <c r="L77" s="125">
        <v>2111.002476757576</v>
      </c>
      <c r="M77" s="125">
        <v>2111.002476757576</v>
      </c>
      <c r="N77" s="125">
        <v>2111.002476757576</v>
      </c>
      <c r="O77" s="125">
        <v>2111.002476757576</v>
      </c>
      <c r="P77" s="125">
        <v>2111.002476757576</v>
      </c>
      <c r="Q77" s="146">
        <v>0</v>
      </c>
      <c r="R77" s="125"/>
      <c r="S77" s="124">
        <f t="shared" si="27"/>
        <v>23352.659910999995</v>
      </c>
      <c r="T77" s="125"/>
      <c r="U77" s="125">
        <f t="shared" si="8"/>
        <v>23352.659910999995</v>
      </c>
      <c r="V77" s="125">
        <f t="shared" si="28"/>
        <v>0</v>
      </c>
      <c r="X77" s="125">
        <v>14538.509573583058</v>
      </c>
      <c r="Y77" s="125">
        <f t="shared" si="29"/>
        <v>-8814.150337416937</v>
      </c>
      <c r="Z77" s="125"/>
    </row>
    <row r="78" spans="1:26" s="94" customFormat="1" ht="12" customHeight="1" x14ac:dyDescent="0.2">
      <c r="A78" s="161"/>
      <c r="B78" s="161" t="s">
        <v>70</v>
      </c>
      <c r="C78" s="121">
        <v>3901</v>
      </c>
      <c r="D78" s="137" t="s">
        <v>123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46">
        <v>0</v>
      </c>
      <c r="R78" s="125"/>
      <c r="S78" s="124">
        <f t="shared" si="27"/>
        <v>0</v>
      </c>
      <c r="T78" s="125"/>
      <c r="U78" s="125">
        <f t="shared" si="8"/>
        <v>0</v>
      </c>
      <c r="V78" s="125">
        <f t="shared" si="28"/>
        <v>0</v>
      </c>
      <c r="X78" s="125">
        <v>0</v>
      </c>
      <c r="Y78" s="125">
        <f t="shared" si="29"/>
        <v>0</v>
      </c>
      <c r="Z78" s="125"/>
    </row>
    <row r="79" spans="1:26" s="94" customFormat="1" ht="12" customHeight="1" x14ac:dyDescent="0.2">
      <c r="A79" s="161"/>
      <c r="B79" s="161" t="s">
        <v>70</v>
      </c>
      <c r="C79" s="163"/>
      <c r="D79" s="163"/>
      <c r="E79" s="131">
        <f t="shared" ref="E79:Q79" si="30">SUM(E71:E78)</f>
        <v>14449.911166666667</v>
      </c>
      <c r="F79" s="131">
        <f t="shared" si="30"/>
        <v>42096.860440462122</v>
      </c>
      <c r="G79" s="131">
        <f t="shared" si="30"/>
        <v>42096.860440462122</v>
      </c>
      <c r="H79" s="131">
        <f t="shared" si="30"/>
        <v>42096.860440462122</v>
      </c>
      <c r="I79" s="131">
        <f t="shared" si="30"/>
        <v>42096.860440462122</v>
      </c>
      <c r="J79" s="131">
        <f t="shared" si="30"/>
        <v>42096.860440462122</v>
      </c>
      <c r="K79" s="131">
        <f t="shared" si="30"/>
        <v>44742.860440462122</v>
      </c>
      <c r="L79" s="131">
        <f t="shared" si="30"/>
        <v>44081.360440462122</v>
      </c>
      <c r="M79" s="131">
        <f t="shared" si="30"/>
        <v>42758.360440462122</v>
      </c>
      <c r="N79" s="131">
        <f t="shared" si="30"/>
        <v>42096.860440462122</v>
      </c>
      <c r="O79" s="131">
        <f t="shared" si="30"/>
        <v>42096.860440462122</v>
      </c>
      <c r="P79" s="131">
        <f t="shared" si="30"/>
        <v>42096.860440462122</v>
      </c>
      <c r="Q79" s="130">
        <f t="shared" si="30"/>
        <v>0</v>
      </c>
      <c r="R79" s="125"/>
      <c r="S79" s="132">
        <f>SUM(E79:R79)</f>
        <v>482807.37601175008</v>
      </c>
      <c r="T79" s="125"/>
      <c r="U79" s="133">
        <f>SUM(U71:U78)</f>
        <v>482807.37601174996</v>
      </c>
      <c r="V79" s="133">
        <f>SUM(V71:V78)</f>
        <v>0</v>
      </c>
      <c r="X79" s="133">
        <f>SUM(X71:X78)</f>
        <v>436340.10126713343</v>
      </c>
      <c r="Y79" s="133">
        <f>SUM(Y71:Y78)</f>
        <v>-46467.274744616574</v>
      </c>
    </row>
    <row r="80" spans="1:26" s="94" customFormat="1" ht="12" customHeight="1" x14ac:dyDescent="0.2">
      <c r="A80" s="161"/>
      <c r="B80" s="161" t="s">
        <v>124</v>
      </c>
      <c r="C80" s="163"/>
      <c r="D80" s="163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46"/>
      <c r="R80" s="125"/>
      <c r="S80" s="136">
        <f>(S62+S64)/(S62+S69)*S79</f>
        <v>450149.91122633952</v>
      </c>
      <c r="T80" s="125"/>
      <c r="U80" s="125"/>
      <c r="V80" s="125"/>
      <c r="X80" s="125"/>
      <c r="Y80" s="125"/>
    </row>
    <row r="81" spans="1:25" s="94" customFormat="1" ht="12" customHeight="1" x14ac:dyDescent="0.2">
      <c r="A81" s="161"/>
      <c r="B81" s="161" t="s">
        <v>70</v>
      </c>
      <c r="C81" s="121">
        <v>4100</v>
      </c>
      <c r="D81" s="165" t="s">
        <v>125</v>
      </c>
      <c r="E81" s="167">
        <v>0</v>
      </c>
      <c r="F81" s="167">
        <v>8175</v>
      </c>
      <c r="G81" s="167">
        <v>8175</v>
      </c>
      <c r="H81" s="167">
        <v>8175</v>
      </c>
      <c r="I81" s="167">
        <v>8175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46">
        <v>0</v>
      </c>
      <c r="R81" s="125"/>
      <c r="S81" s="124">
        <f t="shared" ref="S81:S89" si="31">SUM(E81:Q81)</f>
        <v>32700</v>
      </c>
      <c r="T81" s="125"/>
      <c r="U81" s="125">
        <f t="shared" si="8"/>
        <v>32700</v>
      </c>
      <c r="V81" s="125">
        <f t="shared" ref="V81:V89" si="32">U81-S81</f>
        <v>0</v>
      </c>
      <c r="X81" s="125">
        <v>29386.36</v>
      </c>
      <c r="Y81" s="125">
        <f t="shared" ref="Y81:Y89" si="33">X81-S81</f>
        <v>-3313.6399999999994</v>
      </c>
    </row>
    <row r="82" spans="1:25" s="94" customFormat="1" ht="12" customHeight="1" x14ac:dyDescent="0.2">
      <c r="A82" s="161"/>
      <c r="B82" s="161" t="s">
        <v>70</v>
      </c>
      <c r="C82" s="121">
        <v>4200</v>
      </c>
      <c r="D82" s="165" t="s">
        <v>126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167">
        <v>0</v>
      </c>
      <c r="M82" s="167">
        <v>0</v>
      </c>
      <c r="N82" s="167">
        <v>0</v>
      </c>
      <c r="O82" s="167">
        <v>0</v>
      </c>
      <c r="P82" s="167">
        <v>0</v>
      </c>
      <c r="Q82" s="146">
        <v>0</v>
      </c>
      <c r="R82" s="125"/>
      <c r="S82" s="124">
        <f t="shared" si="31"/>
        <v>0</v>
      </c>
      <c r="T82" s="125"/>
      <c r="U82" s="125">
        <f t="shared" si="8"/>
        <v>0</v>
      </c>
      <c r="V82" s="125">
        <f t="shared" si="32"/>
        <v>0</v>
      </c>
      <c r="X82" s="125">
        <v>0</v>
      </c>
      <c r="Y82" s="125">
        <f t="shared" si="33"/>
        <v>0</v>
      </c>
    </row>
    <row r="83" spans="1:25" s="94" customFormat="1" ht="12" customHeight="1" x14ac:dyDescent="0.2">
      <c r="A83" s="161"/>
      <c r="B83" s="161" t="s">
        <v>70</v>
      </c>
      <c r="C83" s="121">
        <v>4302</v>
      </c>
      <c r="D83" s="165" t="s">
        <v>127</v>
      </c>
      <c r="E83" s="167">
        <v>3008.3333333333335</v>
      </c>
      <c r="F83" s="167">
        <v>3008.3333333333335</v>
      </c>
      <c r="G83" s="167">
        <v>3008.3333333333335</v>
      </c>
      <c r="H83" s="167">
        <v>3008.3333333333335</v>
      </c>
      <c r="I83" s="167">
        <v>3008.3333333333335</v>
      </c>
      <c r="J83" s="167">
        <v>3008.3333333333335</v>
      </c>
      <c r="K83" s="167">
        <v>3008.3333333333335</v>
      </c>
      <c r="L83" s="167">
        <v>3008.3333333333335</v>
      </c>
      <c r="M83" s="167">
        <v>3008.3333333333335</v>
      </c>
      <c r="N83" s="167">
        <v>3008.3333333333335</v>
      </c>
      <c r="O83" s="167">
        <v>3008.3333333333335</v>
      </c>
      <c r="P83" s="167">
        <v>3008.3333333333335</v>
      </c>
      <c r="Q83" s="146">
        <v>0</v>
      </c>
      <c r="R83" s="125"/>
      <c r="S83" s="124">
        <f t="shared" si="31"/>
        <v>36100</v>
      </c>
      <c r="T83" s="125"/>
      <c r="U83" s="125">
        <f t="shared" si="8"/>
        <v>36100</v>
      </c>
      <c r="V83" s="125">
        <f t="shared" si="32"/>
        <v>0</v>
      </c>
      <c r="X83" s="125">
        <v>32461.639999999996</v>
      </c>
      <c r="Y83" s="125">
        <f t="shared" si="33"/>
        <v>-3638.3600000000042</v>
      </c>
    </row>
    <row r="84" spans="1:25" s="94" customFormat="1" ht="12" customHeight="1" x14ac:dyDescent="0.2">
      <c r="A84" s="161"/>
      <c r="B84" s="161" t="s">
        <v>70</v>
      </c>
      <c r="C84" s="121">
        <v>4305</v>
      </c>
      <c r="D84" s="165" t="s">
        <v>128</v>
      </c>
      <c r="E84" s="167">
        <v>4775</v>
      </c>
      <c r="F84" s="167">
        <v>4775</v>
      </c>
      <c r="G84" s="167">
        <v>4775</v>
      </c>
      <c r="H84" s="167">
        <v>4775</v>
      </c>
      <c r="I84" s="167">
        <v>4775</v>
      </c>
      <c r="J84" s="167">
        <v>4775</v>
      </c>
      <c r="K84" s="167">
        <v>4775</v>
      </c>
      <c r="L84" s="167">
        <v>4775</v>
      </c>
      <c r="M84" s="167">
        <v>4775</v>
      </c>
      <c r="N84" s="167">
        <v>4775</v>
      </c>
      <c r="O84" s="167">
        <v>4775</v>
      </c>
      <c r="P84" s="167">
        <v>4775</v>
      </c>
      <c r="Q84" s="146">
        <v>0</v>
      </c>
      <c r="R84" s="125"/>
      <c r="S84" s="124">
        <f t="shared" si="31"/>
        <v>57300</v>
      </c>
      <c r="T84" s="125"/>
      <c r="U84" s="125">
        <f t="shared" si="8"/>
        <v>57300</v>
      </c>
      <c r="V84" s="125">
        <f t="shared" si="32"/>
        <v>0</v>
      </c>
      <c r="X84" s="125">
        <v>51563.4</v>
      </c>
      <c r="Y84" s="125">
        <f t="shared" si="33"/>
        <v>-5736.5999999999985</v>
      </c>
    </row>
    <row r="85" spans="1:25" s="94" customFormat="1" ht="12" customHeight="1" x14ac:dyDescent="0.2">
      <c r="A85" s="161"/>
      <c r="B85" s="161" t="s">
        <v>70</v>
      </c>
      <c r="C85" s="121">
        <v>4310</v>
      </c>
      <c r="D85" s="165" t="s">
        <v>129</v>
      </c>
      <c r="E85" s="167">
        <v>7916.666666666667</v>
      </c>
      <c r="F85" s="167">
        <v>7916.666666666667</v>
      </c>
      <c r="G85" s="167">
        <v>7916.666666666667</v>
      </c>
      <c r="H85" s="167">
        <v>7916.666666666667</v>
      </c>
      <c r="I85" s="167">
        <v>7916.666666666667</v>
      </c>
      <c r="J85" s="167">
        <v>7916.666666666667</v>
      </c>
      <c r="K85" s="167">
        <v>7916.666666666667</v>
      </c>
      <c r="L85" s="167">
        <v>7916.666666666667</v>
      </c>
      <c r="M85" s="167">
        <v>7916.666666666667</v>
      </c>
      <c r="N85" s="167">
        <v>7916.666666666667</v>
      </c>
      <c r="O85" s="167">
        <v>7916.666666666667</v>
      </c>
      <c r="P85" s="167">
        <v>7916.666666666667</v>
      </c>
      <c r="Q85" s="146">
        <v>0</v>
      </c>
      <c r="R85" s="125"/>
      <c r="S85" s="124">
        <f>SUM(E85:Q85)</f>
        <v>95000.000000000015</v>
      </c>
      <c r="T85" s="125"/>
      <c r="U85" s="125">
        <f>S85</f>
        <v>95000.000000000015</v>
      </c>
      <c r="V85" s="125">
        <f>U85-S85</f>
        <v>0</v>
      </c>
      <c r="X85" s="125">
        <v>93799.809999999983</v>
      </c>
      <c r="Y85" s="125">
        <f>X85-S85</f>
        <v>-1200.1900000000314</v>
      </c>
    </row>
    <row r="86" spans="1:25" s="94" customFormat="1" ht="12" customHeight="1" x14ac:dyDescent="0.2">
      <c r="A86" s="161"/>
      <c r="B86" s="161" t="s">
        <v>70</v>
      </c>
      <c r="C86" s="121">
        <v>4311</v>
      </c>
      <c r="D86" s="165" t="s">
        <v>130</v>
      </c>
      <c r="E86" s="167">
        <v>341.66666666666669</v>
      </c>
      <c r="F86" s="167">
        <v>341.66666666666669</v>
      </c>
      <c r="G86" s="167">
        <v>341.66666666666669</v>
      </c>
      <c r="H86" s="167">
        <v>341.66666666666669</v>
      </c>
      <c r="I86" s="167">
        <v>341.66666666666669</v>
      </c>
      <c r="J86" s="167">
        <v>341.66666666666669</v>
      </c>
      <c r="K86" s="167">
        <v>341.66666666666669</v>
      </c>
      <c r="L86" s="167">
        <v>341.66666666666669</v>
      </c>
      <c r="M86" s="167">
        <v>341.66666666666669</v>
      </c>
      <c r="N86" s="167">
        <v>341.66666666666669</v>
      </c>
      <c r="O86" s="167">
        <v>341.66666666666669</v>
      </c>
      <c r="P86" s="167">
        <v>341.66666666666669</v>
      </c>
      <c r="Q86" s="146">
        <v>0</v>
      </c>
      <c r="R86" s="125"/>
      <c r="S86" s="124">
        <f>SUM(E86:Q86)</f>
        <v>4099.9999999999991</v>
      </c>
      <c r="T86" s="125"/>
      <c r="U86" s="125">
        <f>S86</f>
        <v>4099.9999999999991</v>
      </c>
      <c r="V86" s="125">
        <f>U86-S86</f>
        <v>0</v>
      </c>
      <c r="X86" s="125">
        <v>3658.7500000000005</v>
      </c>
      <c r="Y86" s="125">
        <f>X86-S86</f>
        <v>-441.24999999999864</v>
      </c>
    </row>
    <row r="87" spans="1:25" s="94" customFormat="1" ht="12" customHeight="1" x14ac:dyDescent="0.2">
      <c r="A87" s="161"/>
      <c r="B87" s="161" t="s">
        <v>70</v>
      </c>
      <c r="C87" s="121">
        <v>4312</v>
      </c>
      <c r="D87" s="165" t="s">
        <v>131</v>
      </c>
      <c r="E87" s="167">
        <v>0</v>
      </c>
      <c r="F87" s="167">
        <v>0</v>
      </c>
      <c r="G87" s="167">
        <v>0</v>
      </c>
      <c r="H87" s="167">
        <v>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46">
        <v>0</v>
      </c>
      <c r="R87" s="125"/>
      <c r="S87" s="124">
        <f>SUM(E87:Q87)</f>
        <v>0</v>
      </c>
      <c r="T87" s="125"/>
      <c r="U87" s="125">
        <f>S87</f>
        <v>0</v>
      </c>
      <c r="V87" s="125">
        <f>U87-S87</f>
        <v>0</v>
      </c>
      <c r="X87" s="125">
        <v>0</v>
      </c>
      <c r="Y87" s="125">
        <f>X87-S87</f>
        <v>0</v>
      </c>
    </row>
    <row r="88" spans="1:25" s="94" customFormat="1" ht="12" customHeight="1" x14ac:dyDescent="0.2">
      <c r="A88" s="161"/>
      <c r="B88" s="161" t="s">
        <v>70</v>
      </c>
      <c r="C88" s="121">
        <v>4400</v>
      </c>
      <c r="D88" s="165" t="s">
        <v>132</v>
      </c>
      <c r="E88" s="167">
        <v>0</v>
      </c>
      <c r="F88" s="167">
        <v>147523.6</v>
      </c>
      <c r="G88" s="167">
        <v>147523.6</v>
      </c>
      <c r="H88" s="167">
        <v>147523.6</v>
      </c>
      <c r="I88" s="167">
        <v>147523.6</v>
      </c>
      <c r="J88" s="167">
        <v>147523.6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46">
        <v>0</v>
      </c>
      <c r="R88" s="125"/>
      <c r="S88" s="124">
        <f t="shared" si="31"/>
        <v>737618</v>
      </c>
      <c r="T88" s="125"/>
      <c r="U88" s="125">
        <f t="shared" ref="U88:U107" si="34">S88</f>
        <v>737618</v>
      </c>
      <c r="V88" s="125">
        <f t="shared" si="32"/>
        <v>0</v>
      </c>
      <c r="X88" s="125">
        <v>289614.39999999997</v>
      </c>
      <c r="Y88" s="125">
        <f t="shared" si="33"/>
        <v>-448003.60000000003</v>
      </c>
    </row>
    <row r="89" spans="1:25" s="94" customFormat="1" ht="12" customHeight="1" x14ac:dyDescent="0.2">
      <c r="A89" s="161"/>
      <c r="B89" s="161" t="s">
        <v>70</v>
      </c>
      <c r="C89" s="121">
        <v>4700</v>
      </c>
      <c r="D89" s="165" t="s">
        <v>133</v>
      </c>
      <c r="E89" s="167">
        <v>0</v>
      </c>
      <c r="F89" s="167">
        <v>9431.3624093181825</v>
      </c>
      <c r="G89" s="167">
        <v>9431.3624093181825</v>
      </c>
      <c r="H89" s="167">
        <v>9431.3624093181825</v>
      </c>
      <c r="I89" s="167">
        <v>9431.3624093181825</v>
      </c>
      <c r="J89" s="167">
        <v>9431.3624093181825</v>
      </c>
      <c r="K89" s="167">
        <v>9431.3624093181825</v>
      </c>
      <c r="L89" s="167">
        <v>9431.3624093181825</v>
      </c>
      <c r="M89" s="167">
        <v>9431.3624093181825</v>
      </c>
      <c r="N89" s="167">
        <v>9431.3624093181825</v>
      </c>
      <c r="O89" s="167">
        <v>9431.3624093181825</v>
      </c>
      <c r="P89" s="167">
        <v>9431.3624093181825</v>
      </c>
      <c r="Q89" s="146">
        <v>0</v>
      </c>
      <c r="R89" s="125"/>
      <c r="S89" s="124">
        <f t="shared" si="31"/>
        <v>103744.98650250003</v>
      </c>
      <c r="T89" s="125"/>
      <c r="U89" s="125">
        <f t="shared" si="34"/>
        <v>103744.98650250003</v>
      </c>
      <c r="V89" s="125">
        <f t="shared" si="32"/>
        <v>0</v>
      </c>
      <c r="X89" s="125">
        <v>215656.42786294705</v>
      </c>
      <c r="Y89" s="125">
        <f t="shared" si="33"/>
        <v>111911.44136044702</v>
      </c>
    </row>
    <row r="90" spans="1:25" s="94" customFormat="1" ht="12" customHeight="1" x14ac:dyDescent="0.2">
      <c r="A90" s="161"/>
      <c r="B90" s="161" t="s">
        <v>70</v>
      </c>
      <c r="C90" s="163"/>
      <c r="D90" s="163"/>
      <c r="E90" s="131">
        <f t="shared" ref="E90:Q90" si="35">SUM(E81:E89)</f>
        <v>16041.666666666666</v>
      </c>
      <c r="F90" s="131">
        <f t="shared" si="35"/>
        <v>181171.62907598485</v>
      </c>
      <c r="G90" s="131">
        <f t="shared" si="35"/>
        <v>181171.62907598485</v>
      </c>
      <c r="H90" s="131">
        <f t="shared" si="35"/>
        <v>181171.62907598485</v>
      </c>
      <c r="I90" s="131">
        <f t="shared" si="35"/>
        <v>181171.62907598485</v>
      </c>
      <c r="J90" s="131">
        <f t="shared" si="35"/>
        <v>172996.62907598485</v>
      </c>
      <c r="K90" s="131">
        <f t="shared" si="35"/>
        <v>25473.02907598485</v>
      </c>
      <c r="L90" s="131">
        <f t="shared" si="35"/>
        <v>25473.02907598485</v>
      </c>
      <c r="M90" s="131">
        <f t="shared" si="35"/>
        <v>25473.02907598485</v>
      </c>
      <c r="N90" s="131">
        <f t="shared" si="35"/>
        <v>25473.02907598485</v>
      </c>
      <c r="O90" s="131">
        <f t="shared" si="35"/>
        <v>25473.02907598485</v>
      </c>
      <c r="P90" s="131">
        <f t="shared" si="35"/>
        <v>25473.02907598485</v>
      </c>
      <c r="Q90" s="130">
        <f t="shared" si="35"/>
        <v>0</v>
      </c>
      <c r="R90" s="125"/>
      <c r="S90" s="132">
        <f>SUM(E90:R90)</f>
        <v>1066562.9865025</v>
      </c>
      <c r="T90" s="125"/>
      <c r="U90" s="133">
        <f>SUM(U81:U89)</f>
        <v>1066562.9865025</v>
      </c>
      <c r="V90" s="133">
        <f>SUM(V81:V89)</f>
        <v>0</v>
      </c>
      <c r="X90" s="133">
        <f>SUM(X81:X89)</f>
        <v>716140.78786294698</v>
      </c>
      <c r="Y90" s="133">
        <f>SUM(Y81:Y89)</f>
        <v>-350422.19863955304</v>
      </c>
    </row>
    <row r="91" spans="1:25" s="94" customFormat="1" ht="12" customHeight="1" x14ac:dyDescent="0.2">
      <c r="A91" s="161"/>
      <c r="B91" s="161" t="s">
        <v>134</v>
      </c>
      <c r="C91" s="163"/>
      <c r="D91" s="163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46"/>
      <c r="R91" s="125"/>
      <c r="S91" s="136"/>
      <c r="T91" s="125"/>
      <c r="U91" s="125"/>
      <c r="V91" s="125"/>
      <c r="X91" s="125"/>
      <c r="Y91" s="125"/>
    </row>
    <row r="92" spans="1:25" s="94" customFormat="1" ht="12" customHeight="1" x14ac:dyDescent="0.2">
      <c r="A92" s="161"/>
      <c r="B92" s="161" t="s">
        <v>70</v>
      </c>
      <c r="C92" s="121">
        <v>5101</v>
      </c>
      <c r="D92" s="165" t="s">
        <v>135</v>
      </c>
      <c r="E92" s="167">
        <v>0</v>
      </c>
      <c r="F92" s="167">
        <v>0</v>
      </c>
      <c r="G92" s="167">
        <v>0</v>
      </c>
      <c r="H92" s="167">
        <v>0</v>
      </c>
      <c r="I92" s="167">
        <v>0</v>
      </c>
      <c r="J92" s="167">
        <v>0</v>
      </c>
      <c r="K92" s="167">
        <v>0</v>
      </c>
      <c r="L92" s="167">
        <v>0</v>
      </c>
      <c r="M92" s="167">
        <v>0</v>
      </c>
      <c r="N92" s="167">
        <v>0</v>
      </c>
      <c r="O92" s="167">
        <v>0</v>
      </c>
      <c r="P92" s="167">
        <v>0</v>
      </c>
      <c r="Q92" s="146">
        <v>0</v>
      </c>
      <c r="R92" s="125"/>
      <c r="S92" s="124">
        <f t="shared" ref="S92:S97" si="36">SUM(E92:Q92)</f>
        <v>0</v>
      </c>
      <c r="T92" s="125"/>
      <c r="U92" s="125">
        <f t="shared" si="34"/>
        <v>0</v>
      </c>
      <c r="V92" s="125">
        <f t="shared" ref="V92:V97" si="37">U92-S92</f>
        <v>0</v>
      </c>
      <c r="X92" s="125">
        <v>0</v>
      </c>
      <c r="Y92" s="125">
        <f t="shared" ref="Y92:Y97" si="38">X92-S92</f>
        <v>0</v>
      </c>
    </row>
    <row r="93" spans="1:25" s="94" customFormat="1" ht="12" customHeight="1" x14ac:dyDescent="0.2">
      <c r="A93" s="161"/>
      <c r="B93" s="161" t="s">
        <v>70</v>
      </c>
      <c r="C93" s="121">
        <v>5102</v>
      </c>
      <c r="D93" s="165" t="s">
        <v>136</v>
      </c>
      <c r="E93" s="167">
        <v>0</v>
      </c>
      <c r="F93" s="167">
        <v>21581.81818181818</v>
      </c>
      <c r="G93" s="167">
        <v>21581.81818181818</v>
      </c>
      <c r="H93" s="167">
        <v>21581.81818181818</v>
      </c>
      <c r="I93" s="167">
        <v>21581.81818181818</v>
      </c>
      <c r="J93" s="167">
        <v>21581.81818181818</v>
      </c>
      <c r="K93" s="167">
        <v>21581.81818181818</v>
      </c>
      <c r="L93" s="167">
        <v>21581.81818181818</v>
      </c>
      <c r="M93" s="167">
        <v>21581.81818181818</v>
      </c>
      <c r="N93" s="167">
        <v>21581.81818181818</v>
      </c>
      <c r="O93" s="167">
        <v>21581.81818181818</v>
      </c>
      <c r="P93" s="167">
        <v>21581.81818181818</v>
      </c>
      <c r="Q93" s="146">
        <v>0</v>
      </c>
      <c r="R93" s="125"/>
      <c r="S93" s="124">
        <f t="shared" si="36"/>
        <v>237399.99999999997</v>
      </c>
      <c r="T93" s="125"/>
      <c r="U93" s="125">
        <f t="shared" si="34"/>
        <v>237399.99999999997</v>
      </c>
      <c r="V93" s="125">
        <f t="shared" si="37"/>
        <v>0</v>
      </c>
      <c r="X93" s="125">
        <v>213500</v>
      </c>
      <c r="Y93" s="125">
        <f t="shared" si="38"/>
        <v>-23899.999999999971</v>
      </c>
    </row>
    <row r="94" spans="1:25" s="94" customFormat="1" ht="12" customHeight="1" x14ac:dyDescent="0.2">
      <c r="A94" s="161"/>
      <c r="B94" s="161" t="s">
        <v>70</v>
      </c>
      <c r="C94" s="121">
        <v>5103</v>
      </c>
      <c r="D94" s="165" t="s">
        <v>137</v>
      </c>
      <c r="E94" s="167">
        <v>0</v>
      </c>
      <c r="F94" s="167">
        <v>4090.909090909091</v>
      </c>
      <c r="G94" s="167">
        <v>4090.909090909091</v>
      </c>
      <c r="H94" s="167">
        <v>4090.909090909091</v>
      </c>
      <c r="I94" s="167">
        <v>4090.909090909091</v>
      </c>
      <c r="J94" s="167">
        <v>4090.909090909091</v>
      </c>
      <c r="K94" s="167">
        <v>4090.909090909091</v>
      </c>
      <c r="L94" s="167">
        <v>4090.909090909091</v>
      </c>
      <c r="M94" s="167">
        <v>4090.909090909091</v>
      </c>
      <c r="N94" s="167">
        <v>4090.909090909091</v>
      </c>
      <c r="O94" s="167">
        <v>4090.909090909091</v>
      </c>
      <c r="P94" s="167">
        <v>4090.909090909091</v>
      </c>
      <c r="Q94" s="146">
        <v>0</v>
      </c>
      <c r="R94" s="125"/>
      <c r="S94" s="124">
        <f t="shared" si="36"/>
        <v>45000</v>
      </c>
      <c r="T94" s="125"/>
      <c r="U94" s="125">
        <f t="shared" si="34"/>
        <v>45000</v>
      </c>
      <c r="V94" s="125">
        <f t="shared" si="37"/>
        <v>0</v>
      </c>
      <c r="X94" s="125">
        <v>93273.228181818165</v>
      </c>
      <c r="Y94" s="125">
        <f t="shared" si="38"/>
        <v>48273.228181818165</v>
      </c>
    </row>
    <row r="95" spans="1:25" s="94" customFormat="1" ht="12" customHeight="1" x14ac:dyDescent="0.2">
      <c r="A95" s="161"/>
      <c r="B95" s="161" t="s">
        <v>70</v>
      </c>
      <c r="C95" s="121">
        <v>5104</v>
      </c>
      <c r="D95" s="165" t="s">
        <v>138</v>
      </c>
      <c r="E95" s="167">
        <v>0</v>
      </c>
      <c r="F95" s="167">
        <v>9.0909090909090917</v>
      </c>
      <c r="G95" s="167">
        <v>9.0909090909090917</v>
      </c>
      <c r="H95" s="167">
        <v>9.0909090909090917</v>
      </c>
      <c r="I95" s="167">
        <v>9.0909090909090917</v>
      </c>
      <c r="J95" s="167">
        <v>9.0909090909090917</v>
      </c>
      <c r="K95" s="167">
        <v>9.0909090909090917</v>
      </c>
      <c r="L95" s="167">
        <v>9.0909090909090917</v>
      </c>
      <c r="M95" s="167">
        <v>9.0909090909090917</v>
      </c>
      <c r="N95" s="167">
        <v>9.0909090909090917</v>
      </c>
      <c r="O95" s="167">
        <v>9.0909090909090917</v>
      </c>
      <c r="P95" s="167">
        <v>9.0909090909090917</v>
      </c>
      <c r="Q95" s="146">
        <v>0</v>
      </c>
      <c r="R95" s="125"/>
      <c r="S95" s="124">
        <f t="shared" si="36"/>
        <v>100.00000000000001</v>
      </c>
      <c r="T95" s="125"/>
      <c r="U95" s="125">
        <f t="shared" si="34"/>
        <v>100.00000000000001</v>
      </c>
      <c r="V95" s="125">
        <f t="shared" si="37"/>
        <v>0</v>
      </c>
      <c r="X95" s="125">
        <v>81.818181818181813</v>
      </c>
      <c r="Y95" s="125">
        <f t="shared" si="38"/>
        <v>-18.181818181818201</v>
      </c>
    </row>
    <row r="96" spans="1:25" s="94" customFormat="1" ht="12" customHeight="1" x14ac:dyDescent="0.2">
      <c r="A96" s="161"/>
      <c r="B96" s="161" t="s">
        <v>70</v>
      </c>
      <c r="C96" s="121">
        <v>5105</v>
      </c>
      <c r="D96" s="165" t="s">
        <v>139</v>
      </c>
      <c r="E96" s="167">
        <v>0</v>
      </c>
      <c r="F96" s="167">
        <v>136.36363636363637</v>
      </c>
      <c r="G96" s="167">
        <v>136.36363636363637</v>
      </c>
      <c r="H96" s="167">
        <v>136.36363636363637</v>
      </c>
      <c r="I96" s="167">
        <v>136.36363636363637</v>
      </c>
      <c r="J96" s="167">
        <v>136.36363636363637</v>
      </c>
      <c r="K96" s="167">
        <v>136.36363636363637</v>
      </c>
      <c r="L96" s="167">
        <v>136.36363636363637</v>
      </c>
      <c r="M96" s="167">
        <v>136.36363636363637</v>
      </c>
      <c r="N96" s="167">
        <v>136.36363636363637</v>
      </c>
      <c r="O96" s="167">
        <v>136.36363636363637</v>
      </c>
      <c r="P96" s="167">
        <v>136.36363636363637</v>
      </c>
      <c r="Q96" s="146">
        <v>0</v>
      </c>
      <c r="R96" s="125"/>
      <c r="S96" s="124">
        <f t="shared" si="36"/>
        <v>1500.0000000000005</v>
      </c>
      <c r="T96" s="125"/>
      <c r="U96" s="125">
        <f t="shared" si="34"/>
        <v>1500.0000000000005</v>
      </c>
      <c r="V96" s="125">
        <f t="shared" si="37"/>
        <v>0</v>
      </c>
      <c r="X96" s="125">
        <v>1331</v>
      </c>
      <c r="Y96" s="125">
        <f t="shared" si="38"/>
        <v>-169.00000000000045</v>
      </c>
    </row>
    <row r="97" spans="1:31" s="94" customFormat="1" ht="12" customHeight="1" x14ac:dyDescent="0.2">
      <c r="A97" s="161"/>
      <c r="B97" s="161" t="s">
        <v>70</v>
      </c>
      <c r="C97" s="121">
        <v>5106</v>
      </c>
      <c r="D97" s="165" t="s">
        <v>140</v>
      </c>
      <c r="E97" s="167">
        <v>0</v>
      </c>
      <c r="F97" s="167">
        <v>0</v>
      </c>
      <c r="G97" s="167">
        <v>26400</v>
      </c>
      <c r="H97" s="167">
        <v>26400</v>
      </c>
      <c r="I97" s="167">
        <v>26400</v>
      </c>
      <c r="J97" s="167">
        <v>26400</v>
      </c>
      <c r="K97" s="167">
        <v>26400</v>
      </c>
      <c r="L97" s="167">
        <v>26400</v>
      </c>
      <c r="M97" s="167">
        <v>26400</v>
      </c>
      <c r="N97" s="167">
        <v>26400</v>
      </c>
      <c r="O97" s="167">
        <v>26400</v>
      </c>
      <c r="P97" s="167">
        <v>26400</v>
      </c>
      <c r="Q97" s="146">
        <v>0</v>
      </c>
      <c r="R97" s="125"/>
      <c r="S97" s="124">
        <f t="shared" si="36"/>
        <v>264000</v>
      </c>
      <c r="T97" s="125"/>
      <c r="U97" s="125">
        <f t="shared" si="34"/>
        <v>264000</v>
      </c>
      <c r="V97" s="125">
        <f t="shared" si="37"/>
        <v>0</v>
      </c>
      <c r="X97" s="125">
        <v>237466.94999999998</v>
      </c>
      <c r="Y97" s="125">
        <f t="shared" si="38"/>
        <v>-26533.050000000017</v>
      </c>
    </row>
    <row r="98" spans="1:31" s="94" customFormat="1" ht="12" customHeight="1" x14ac:dyDescent="0.2">
      <c r="A98" s="161"/>
      <c r="B98" s="161" t="s">
        <v>70</v>
      </c>
      <c r="C98" s="163"/>
      <c r="D98" s="163"/>
      <c r="E98" s="131">
        <f t="shared" ref="E98:Q98" si="39">SUM(E92:E97)</f>
        <v>0</v>
      </c>
      <c r="F98" s="131">
        <f t="shared" si="39"/>
        <v>25818.181818181816</v>
      </c>
      <c r="G98" s="131">
        <f t="shared" si="39"/>
        <v>52218.181818181816</v>
      </c>
      <c r="H98" s="131">
        <f t="shared" si="39"/>
        <v>52218.181818181816</v>
      </c>
      <c r="I98" s="131">
        <f t="shared" si="39"/>
        <v>52218.181818181816</v>
      </c>
      <c r="J98" s="131">
        <f t="shared" si="39"/>
        <v>52218.181818181816</v>
      </c>
      <c r="K98" s="131">
        <f t="shared" si="39"/>
        <v>52218.181818181816</v>
      </c>
      <c r="L98" s="131">
        <f t="shared" si="39"/>
        <v>52218.181818181816</v>
      </c>
      <c r="M98" s="131">
        <f t="shared" si="39"/>
        <v>52218.181818181816</v>
      </c>
      <c r="N98" s="131">
        <f t="shared" si="39"/>
        <v>52218.181818181816</v>
      </c>
      <c r="O98" s="131">
        <f t="shared" si="39"/>
        <v>52218.181818181816</v>
      </c>
      <c r="P98" s="131">
        <f t="shared" si="39"/>
        <v>52218.181818181816</v>
      </c>
      <c r="Q98" s="130">
        <f t="shared" si="39"/>
        <v>0</v>
      </c>
      <c r="R98" s="125"/>
      <c r="S98" s="132">
        <f>SUM(E98:R98)</f>
        <v>548000</v>
      </c>
      <c r="T98" s="158">
        <f>SUM(T92:T97)</f>
        <v>0</v>
      </c>
      <c r="U98" s="133">
        <f>SUM(U92:U97)</f>
        <v>548000</v>
      </c>
      <c r="V98" s="133">
        <f>SUM(V92:V97)</f>
        <v>0</v>
      </c>
      <c r="X98" s="133">
        <f>SUM(X92:X97)</f>
        <v>545652.99636363634</v>
      </c>
      <c r="Y98" s="133">
        <f>SUM(Y92:Y97)</f>
        <v>-2347.0036363636427</v>
      </c>
    </row>
    <row r="99" spans="1:31" s="94" customFormat="1" ht="12" customHeight="1" x14ac:dyDescent="0.2">
      <c r="A99" s="161"/>
      <c r="B99" s="161" t="s">
        <v>141</v>
      </c>
      <c r="C99" s="163"/>
      <c r="D99" s="163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46"/>
      <c r="R99" s="125"/>
      <c r="S99" s="136"/>
      <c r="T99" s="125"/>
      <c r="U99" s="125"/>
      <c r="V99" s="125"/>
      <c r="X99" s="125"/>
      <c r="Y99" s="125"/>
    </row>
    <row r="100" spans="1:31" s="94" customFormat="1" ht="12" customHeight="1" x14ac:dyDescent="0.2">
      <c r="A100" s="161"/>
      <c r="B100" s="161" t="s">
        <v>70</v>
      </c>
      <c r="C100" s="121">
        <v>5201</v>
      </c>
      <c r="D100" s="165" t="s">
        <v>142</v>
      </c>
      <c r="E100" s="167">
        <v>0</v>
      </c>
      <c r="F100" s="167">
        <v>27.272727272727273</v>
      </c>
      <c r="G100" s="167">
        <v>27.272727272727273</v>
      </c>
      <c r="H100" s="167">
        <v>27.272727272727273</v>
      </c>
      <c r="I100" s="167">
        <v>27.272727272727273</v>
      </c>
      <c r="J100" s="167">
        <v>27.272727272727273</v>
      </c>
      <c r="K100" s="167">
        <v>27.272727272727273</v>
      </c>
      <c r="L100" s="167">
        <v>27.272727272727273</v>
      </c>
      <c r="M100" s="167">
        <v>27.272727272727273</v>
      </c>
      <c r="N100" s="167">
        <v>27.272727272727273</v>
      </c>
      <c r="O100" s="167">
        <v>27.272727272727273</v>
      </c>
      <c r="P100" s="167">
        <v>27.272727272727273</v>
      </c>
      <c r="Q100" s="146">
        <v>0</v>
      </c>
      <c r="R100" s="125"/>
      <c r="S100" s="124">
        <f t="shared" ref="S100:S107" si="40">SUM(E100:Q100)</f>
        <v>300</v>
      </c>
      <c r="T100" s="125"/>
      <c r="U100" s="125">
        <f t="shared" si="34"/>
        <v>300</v>
      </c>
      <c r="V100" s="125">
        <f t="shared" ref="V100:V107" si="41">U100-S100</f>
        <v>0</v>
      </c>
      <c r="W100" s="169"/>
      <c r="X100" s="125">
        <v>301.82363636363635</v>
      </c>
      <c r="Y100" s="125">
        <f t="shared" ref="Y100:Y107" si="42">X100-S100</f>
        <v>1.8236363636363535</v>
      </c>
      <c r="Z100" s="169"/>
      <c r="AA100" s="169"/>
      <c r="AB100" s="169"/>
      <c r="AC100" s="169"/>
      <c r="AD100" s="169"/>
      <c r="AE100" s="169"/>
    </row>
    <row r="101" spans="1:31" s="94" customFormat="1" ht="12" customHeight="1" x14ac:dyDescent="0.2">
      <c r="A101" s="161"/>
      <c r="B101" s="161" t="s">
        <v>70</v>
      </c>
      <c r="C101" s="121">
        <v>5300</v>
      </c>
      <c r="D101" s="165" t="s">
        <v>143</v>
      </c>
      <c r="E101" s="167">
        <v>558.33333333333337</v>
      </c>
      <c r="F101" s="167">
        <v>558.33333333333337</v>
      </c>
      <c r="G101" s="167">
        <v>558.33333333333337</v>
      </c>
      <c r="H101" s="167">
        <v>558.33333333333337</v>
      </c>
      <c r="I101" s="167">
        <v>558.33333333333337</v>
      </c>
      <c r="J101" s="167">
        <v>558.33333333333337</v>
      </c>
      <c r="K101" s="167">
        <v>558.33333333333337</v>
      </c>
      <c r="L101" s="167">
        <v>558.33333333333337</v>
      </c>
      <c r="M101" s="167">
        <v>558.33333333333337</v>
      </c>
      <c r="N101" s="167">
        <v>558.33333333333337</v>
      </c>
      <c r="O101" s="167">
        <v>558.33333333333337</v>
      </c>
      <c r="P101" s="167">
        <v>558.33333333333337</v>
      </c>
      <c r="Q101" s="146">
        <v>0</v>
      </c>
      <c r="R101" s="125"/>
      <c r="S101" s="124">
        <f t="shared" si="40"/>
        <v>6699.9999999999991</v>
      </c>
      <c r="T101" s="125"/>
      <c r="U101" s="125">
        <f t="shared" si="34"/>
        <v>6699.9999999999991</v>
      </c>
      <c r="V101" s="125">
        <f t="shared" si="41"/>
        <v>0</v>
      </c>
      <c r="X101" s="125">
        <v>6019.4800000000005</v>
      </c>
      <c r="Y101" s="125">
        <f t="shared" si="42"/>
        <v>-680.51999999999862</v>
      </c>
    </row>
    <row r="102" spans="1:31" s="94" customFormat="1" ht="12" customHeight="1" x14ac:dyDescent="0.2">
      <c r="A102" s="161"/>
      <c r="B102" s="161" t="s">
        <v>70</v>
      </c>
      <c r="C102" s="121">
        <v>5400</v>
      </c>
      <c r="D102" s="165" t="s">
        <v>144</v>
      </c>
      <c r="E102" s="125">
        <v>5791.666666666667</v>
      </c>
      <c r="F102" s="125">
        <v>5791.666666666667</v>
      </c>
      <c r="G102" s="125">
        <v>5791.666666666667</v>
      </c>
      <c r="H102" s="125">
        <v>5791.666666666667</v>
      </c>
      <c r="I102" s="125">
        <v>5791.666666666667</v>
      </c>
      <c r="J102" s="125">
        <v>5791.666666666667</v>
      </c>
      <c r="K102" s="125">
        <v>5791.666666666667</v>
      </c>
      <c r="L102" s="125">
        <v>5791.666666666667</v>
      </c>
      <c r="M102" s="125">
        <v>5791.666666666667</v>
      </c>
      <c r="N102" s="125">
        <v>5791.666666666667</v>
      </c>
      <c r="O102" s="125">
        <v>5791.666666666667</v>
      </c>
      <c r="P102" s="125">
        <v>5791.666666666667</v>
      </c>
      <c r="Q102" s="146">
        <v>0</v>
      </c>
      <c r="R102" s="125"/>
      <c r="S102" s="124">
        <f t="shared" si="40"/>
        <v>69499.999999999985</v>
      </c>
      <c r="T102" s="125"/>
      <c r="U102" s="125">
        <f t="shared" si="34"/>
        <v>69499.999999999985</v>
      </c>
      <c r="V102" s="125">
        <f t="shared" si="41"/>
        <v>0</v>
      </c>
      <c r="X102" s="125">
        <v>62464.819999999985</v>
      </c>
      <c r="Y102" s="125">
        <f t="shared" si="42"/>
        <v>-7035.18</v>
      </c>
    </row>
    <row r="103" spans="1:31" s="94" customFormat="1" ht="12" customHeight="1" x14ac:dyDescent="0.2">
      <c r="A103" s="161"/>
      <c r="B103" s="161" t="s">
        <v>70</v>
      </c>
      <c r="C103" s="121">
        <v>5501</v>
      </c>
      <c r="D103" s="165" t="s">
        <v>145</v>
      </c>
      <c r="E103" s="167">
        <v>2400</v>
      </c>
      <c r="F103" s="167">
        <v>2400</v>
      </c>
      <c r="G103" s="167">
        <v>2400</v>
      </c>
      <c r="H103" s="167">
        <v>2400</v>
      </c>
      <c r="I103" s="167">
        <v>2400</v>
      </c>
      <c r="J103" s="167">
        <v>2400</v>
      </c>
      <c r="K103" s="167">
        <v>2400</v>
      </c>
      <c r="L103" s="167">
        <v>2400</v>
      </c>
      <c r="M103" s="167">
        <v>2400</v>
      </c>
      <c r="N103" s="167">
        <v>2400</v>
      </c>
      <c r="O103" s="167">
        <v>2400</v>
      </c>
      <c r="P103" s="167">
        <v>2400</v>
      </c>
      <c r="Q103" s="146">
        <v>0</v>
      </c>
      <c r="R103" s="125"/>
      <c r="S103" s="124">
        <f t="shared" si="40"/>
        <v>28800</v>
      </c>
      <c r="T103" s="125"/>
      <c r="U103" s="125">
        <f t="shared" si="34"/>
        <v>28800</v>
      </c>
      <c r="V103" s="125">
        <f t="shared" si="41"/>
        <v>0</v>
      </c>
      <c r="X103" s="125">
        <v>25898.690000000002</v>
      </c>
      <c r="Y103" s="125">
        <f t="shared" si="42"/>
        <v>-2901.3099999999977</v>
      </c>
    </row>
    <row r="104" spans="1:31" s="94" customFormat="1" ht="12" customHeight="1" x14ac:dyDescent="0.2">
      <c r="A104" s="161"/>
      <c r="B104" s="161" t="s">
        <v>70</v>
      </c>
      <c r="C104" s="121">
        <v>5502</v>
      </c>
      <c r="D104" s="165" t="s">
        <v>146</v>
      </c>
      <c r="E104" s="167">
        <v>4033.3333333333335</v>
      </c>
      <c r="F104" s="167">
        <v>4033.3333333333335</v>
      </c>
      <c r="G104" s="167">
        <v>4033.3333333333335</v>
      </c>
      <c r="H104" s="167">
        <v>4033.3333333333335</v>
      </c>
      <c r="I104" s="167">
        <v>4033.3333333333335</v>
      </c>
      <c r="J104" s="167">
        <v>4033.3333333333335</v>
      </c>
      <c r="K104" s="167">
        <v>4033.3333333333335</v>
      </c>
      <c r="L104" s="167">
        <v>4033.3333333333335</v>
      </c>
      <c r="M104" s="167">
        <v>4033.3333333333335</v>
      </c>
      <c r="N104" s="167">
        <v>4033.3333333333335</v>
      </c>
      <c r="O104" s="167">
        <v>4033.3333333333335</v>
      </c>
      <c r="P104" s="167">
        <v>4033.3333333333335</v>
      </c>
      <c r="Q104" s="146">
        <v>0</v>
      </c>
      <c r="R104" s="125"/>
      <c r="S104" s="124">
        <f>SUM(E104:Q104)</f>
        <v>48400.000000000007</v>
      </c>
      <c r="T104" s="125"/>
      <c r="U104" s="125">
        <f>S104</f>
        <v>48400.000000000007</v>
      </c>
      <c r="V104" s="125">
        <f>U104-S104</f>
        <v>0</v>
      </c>
      <c r="X104" s="125">
        <v>43514.780000000006</v>
      </c>
      <c r="Y104" s="125">
        <f>X104-S104</f>
        <v>-4885.2200000000012</v>
      </c>
    </row>
    <row r="105" spans="1:31" s="94" customFormat="1" ht="12" customHeight="1" x14ac:dyDescent="0.2">
      <c r="A105" s="161"/>
      <c r="B105" s="161" t="s">
        <v>70</v>
      </c>
      <c r="C105" s="121">
        <v>5516</v>
      </c>
      <c r="D105" s="165" t="s">
        <v>147</v>
      </c>
      <c r="E105" s="125">
        <v>0</v>
      </c>
      <c r="F105" s="125">
        <v>0</v>
      </c>
      <c r="G105" s="125">
        <v>0</v>
      </c>
      <c r="H105" s="125">
        <v>0</v>
      </c>
      <c r="I105" s="125">
        <v>0</v>
      </c>
      <c r="J105" s="125">
        <v>0</v>
      </c>
      <c r="K105" s="125">
        <v>0</v>
      </c>
      <c r="L105" s="125">
        <v>0</v>
      </c>
      <c r="M105" s="125">
        <v>0</v>
      </c>
      <c r="N105" s="125">
        <v>0</v>
      </c>
      <c r="O105" s="125">
        <v>0</v>
      </c>
      <c r="P105" s="125">
        <v>0</v>
      </c>
      <c r="Q105" s="146">
        <v>0</v>
      </c>
      <c r="R105" s="125"/>
      <c r="S105" s="124">
        <f t="shared" si="40"/>
        <v>0</v>
      </c>
      <c r="T105" s="125"/>
      <c r="U105" s="125">
        <f t="shared" si="34"/>
        <v>0</v>
      </c>
      <c r="V105" s="125">
        <f t="shared" si="41"/>
        <v>0</v>
      </c>
      <c r="X105" s="125">
        <v>0</v>
      </c>
      <c r="Y105" s="125">
        <f t="shared" si="42"/>
        <v>0</v>
      </c>
    </row>
    <row r="106" spans="1:31" s="94" customFormat="1" ht="12" customHeight="1" x14ac:dyDescent="0.2">
      <c r="A106" s="161"/>
      <c r="B106" s="161"/>
      <c r="C106" s="121">
        <v>5531</v>
      </c>
      <c r="D106" s="165" t="s">
        <v>148</v>
      </c>
      <c r="E106" s="167">
        <v>0</v>
      </c>
      <c r="F106" s="167">
        <v>0</v>
      </c>
      <c r="G106" s="167">
        <v>0</v>
      </c>
      <c r="H106" s="167">
        <v>0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46">
        <v>0</v>
      </c>
      <c r="R106" s="125"/>
      <c r="S106" s="124">
        <f t="shared" si="40"/>
        <v>0</v>
      </c>
      <c r="T106" s="125"/>
      <c r="U106" s="125">
        <f t="shared" si="34"/>
        <v>0</v>
      </c>
      <c r="V106" s="125">
        <f t="shared" si="41"/>
        <v>0</v>
      </c>
      <c r="X106" s="125">
        <v>0</v>
      </c>
      <c r="Y106" s="125">
        <f t="shared" si="42"/>
        <v>0</v>
      </c>
    </row>
    <row r="107" spans="1:31" s="94" customFormat="1" ht="12" customHeight="1" x14ac:dyDescent="0.2">
      <c r="A107" s="161"/>
      <c r="B107" s="161" t="s">
        <v>70</v>
      </c>
      <c r="C107" s="121">
        <v>5900</v>
      </c>
      <c r="D107" s="165" t="s">
        <v>149</v>
      </c>
      <c r="E107" s="167">
        <v>2733.3333333333335</v>
      </c>
      <c r="F107" s="167">
        <v>2733.3333333333335</v>
      </c>
      <c r="G107" s="167">
        <v>2733.3333333333335</v>
      </c>
      <c r="H107" s="167">
        <v>2733.3333333333335</v>
      </c>
      <c r="I107" s="167">
        <v>2733.3333333333335</v>
      </c>
      <c r="J107" s="167">
        <v>2733.3333333333335</v>
      </c>
      <c r="K107" s="167">
        <v>2733.3333333333335</v>
      </c>
      <c r="L107" s="167">
        <v>2733.3333333333335</v>
      </c>
      <c r="M107" s="167">
        <v>2733.3333333333335</v>
      </c>
      <c r="N107" s="167">
        <v>2733.3333333333335</v>
      </c>
      <c r="O107" s="167">
        <v>2733.3333333333335</v>
      </c>
      <c r="P107" s="167">
        <v>2733.3333333333335</v>
      </c>
      <c r="Q107" s="146">
        <v>0</v>
      </c>
      <c r="R107" s="125"/>
      <c r="S107" s="124">
        <f t="shared" si="40"/>
        <v>32799.999999999993</v>
      </c>
      <c r="T107" s="125"/>
      <c r="U107" s="125">
        <f t="shared" si="34"/>
        <v>32799.999999999993</v>
      </c>
      <c r="V107" s="125">
        <f t="shared" si="41"/>
        <v>0</v>
      </c>
      <c r="X107" s="125">
        <v>29523.440000000002</v>
      </c>
      <c r="Y107" s="125">
        <f t="shared" si="42"/>
        <v>-3276.5599999999904</v>
      </c>
    </row>
    <row r="108" spans="1:31" s="94" customFormat="1" ht="12" customHeight="1" x14ac:dyDescent="0.2">
      <c r="A108" s="161"/>
      <c r="B108" s="161" t="s">
        <v>70</v>
      </c>
      <c r="C108" s="121">
        <v>5901</v>
      </c>
      <c r="D108" s="165" t="s">
        <v>150</v>
      </c>
      <c r="E108" s="167">
        <v>0</v>
      </c>
      <c r="F108" s="167">
        <v>0</v>
      </c>
      <c r="G108" s="167">
        <v>310</v>
      </c>
      <c r="H108" s="167">
        <v>310</v>
      </c>
      <c r="I108" s="167">
        <v>310</v>
      </c>
      <c r="J108" s="167">
        <v>310</v>
      </c>
      <c r="K108" s="167">
        <v>310</v>
      </c>
      <c r="L108" s="167">
        <v>310</v>
      </c>
      <c r="M108" s="167">
        <v>310</v>
      </c>
      <c r="N108" s="167">
        <v>310</v>
      </c>
      <c r="O108" s="167">
        <v>310</v>
      </c>
      <c r="P108" s="167">
        <v>310</v>
      </c>
      <c r="Q108" s="146">
        <v>0</v>
      </c>
      <c r="R108" s="125"/>
      <c r="S108" s="124">
        <f>SUM(E108:Q108)</f>
        <v>3100</v>
      </c>
      <c r="T108" s="125"/>
      <c r="U108" s="125">
        <f>S108</f>
        <v>3100</v>
      </c>
      <c r="V108" s="125">
        <f>U108-S108</f>
        <v>0</v>
      </c>
      <c r="X108" s="125">
        <v>2784.41</v>
      </c>
      <c r="Y108" s="125">
        <f>X108-S108</f>
        <v>-315.59000000000015</v>
      </c>
    </row>
    <row r="109" spans="1:31" s="94" customFormat="1" ht="12" customHeight="1" x14ac:dyDescent="0.2">
      <c r="A109" s="161"/>
      <c r="B109" s="161" t="s">
        <v>70</v>
      </c>
      <c r="C109" s="121"/>
      <c r="D109" s="128"/>
      <c r="E109" s="131">
        <f t="shared" ref="E109:Q109" si="43">SUM(E100:E108)</f>
        <v>15516.666666666668</v>
      </c>
      <c r="F109" s="131">
        <f t="shared" si="43"/>
        <v>15543.939393939396</v>
      </c>
      <c r="G109" s="131">
        <f t="shared" si="43"/>
        <v>15853.939393939396</v>
      </c>
      <c r="H109" s="131">
        <f t="shared" si="43"/>
        <v>15853.939393939396</v>
      </c>
      <c r="I109" s="131">
        <f t="shared" si="43"/>
        <v>15853.939393939396</v>
      </c>
      <c r="J109" s="131">
        <f t="shared" si="43"/>
        <v>15853.939393939396</v>
      </c>
      <c r="K109" s="131">
        <f t="shared" si="43"/>
        <v>15853.939393939396</v>
      </c>
      <c r="L109" s="131">
        <f t="shared" si="43"/>
        <v>15853.939393939396</v>
      </c>
      <c r="M109" s="131">
        <f t="shared" si="43"/>
        <v>15853.939393939396</v>
      </c>
      <c r="N109" s="131">
        <f t="shared" si="43"/>
        <v>15853.939393939396</v>
      </c>
      <c r="O109" s="131">
        <f t="shared" si="43"/>
        <v>15853.939393939396</v>
      </c>
      <c r="P109" s="131">
        <f t="shared" si="43"/>
        <v>15853.939393939396</v>
      </c>
      <c r="Q109" s="130">
        <f t="shared" si="43"/>
        <v>0</v>
      </c>
      <c r="R109" s="125"/>
      <c r="S109" s="132">
        <f>SUM(E109:R109)</f>
        <v>189600</v>
      </c>
      <c r="T109" s="158"/>
      <c r="U109" s="133">
        <f>SUM(U100:U108)</f>
        <v>189600</v>
      </c>
      <c r="V109" s="133">
        <f>SUM(V100:V108)</f>
        <v>0</v>
      </c>
      <c r="X109" s="133">
        <f>SUM(X100:X108)</f>
        <v>170507.44363636363</v>
      </c>
      <c r="Y109" s="133">
        <f>SUM(Y100:Y108)</f>
        <v>-19092.556363636351</v>
      </c>
    </row>
    <row r="110" spans="1:31" s="94" customFormat="1" ht="12" customHeight="1" x14ac:dyDescent="0.2">
      <c r="A110" s="161"/>
      <c r="B110" s="161" t="s">
        <v>151</v>
      </c>
      <c r="C110" s="163"/>
      <c r="D110" s="163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46"/>
      <c r="R110" s="125"/>
      <c r="S110" s="136"/>
      <c r="T110" s="125"/>
      <c r="U110" s="125"/>
      <c r="V110" s="125"/>
      <c r="X110" s="125"/>
      <c r="Y110" s="125"/>
    </row>
    <row r="111" spans="1:31" s="94" customFormat="1" ht="12" customHeight="1" x14ac:dyDescent="0.2">
      <c r="A111" s="161"/>
      <c r="B111" s="161" t="s">
        <v>70</v>
      </c>
      <c r="C111" s="121">
        <v>5601</v>
      </c>
      <c r="D111" s="165" t="s">
        <v>152</v>
      </c>
      <c r="E111" s="125">
        <v>35651.041100000002</v>
      </c>
      <c r="F111" s="125">
        <v>35651.041100000002</v>
      </c>
      <c r="G111" s="125">
        <v>35651.041100000002</v>
      </c>
      <c r="H111" s="125">
        <v>35651.041100000002</v>
      </c>
      <c r="I111" s="125">
        <v>35651.041100000002</v>
      </c>
      <c r="J111" s="125">
        <v>35651.041100000002</v>
      </c>
      <c r="K111" s="125">
        <v>35651.041100000002</v>
      </c>
      <c r="L111" s="125">
        <v>35651.041100000002</v>
      </c>
      <c r="M111" s="125">
        <v>35651.041100000002</v>
      </c>
      <c r="N111" s="125">
        <v>35651.041100000002</v>
      </c>
      <c r="O111" s="125">
        <v>35651.041100000002</v>
      </c>
      <c r="P111" s="125">
        <v>35651.041100000002</v>
      </c>
      <c r="Q111" s="146">
        <v>0</v>
      </c>
      <c r="R111" s="125"/>
      <c r="S111" s="124">
        <f t="shared" ref="S111:S116" si="44">SUM(E111:Q111)</f>
        <v>427812.49320000014</v>
      </c>
      <c r="T111" s="125"/>
      <c r="U111" s="125">
        <f t="shared" ref="U111:U116" si="45">S111</f>
        <v>427812.49320000014</v>
      </c>
      <c r="V111" s="125">
        <f t="shared" ref="V111:V116" si="46">U111-S111</f>
        <v>0</v>
      </c>
      <c r="X111" s="125">
        <v>396515.83999999997</v>
      </c>
      <c r="Y111" s="125">
        <f t="shared" ref="Y111:Y116" si="47">X111-S111</f>
        <v>-31296.653200000175</v>
      </c>
    </row>
    <row r="112" spans="1:31" s="94" customFormat="1" ht="12" customHeight="1" x14ac:dyDescent="0.2">
      <c r="A112" s="161"/>
      <c r="B112" s="161" t="s">
        <v>70</v>
      </c>
      <c r="C112" s="121">
        <v>5602</v>
      </c>
      <c r="D112" s="165" t="s">
        <v>153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5">
        <v>0</v>
      </c>
      <c r="M112" s="125">
        <v>0</v>
      </c>
      <c r="N112" s="125">
        <v>0</v>
      </c>
      <c r="O112" s="125">
        <v>0</v>
      </c>
      <c r="P112" s="125">
        <v>0</v>
      </c>
      <c r="Q112" s="146">
        <v>0</v>
      </c>
      <c r="R112" s="125"/>
      <c r="S112" s="124">
        <f t="shared" si="44"/>
        <v>0</v>
      </c>
      <c r="T112" s="125"/>
      <c r="U112" s="125">
        <f t="shared" si="45"/>
        <v>0</v>
      </c>
      <c r="V112" s="125">
        <f t="shared" si="46"/>
        <v>0</v>
      </c>
      <c r="X112" s="125">
        <v>0</v>
      </c>
      <c r="Y112" s="125">
        <f t="shared" si="47"/>
        <v>0</v>
      </c>
    </row>
    <row r="113" spans="1:25" s="94" customFormat="1" ht="12" customHeight="1" x14ac:dyDescent="0.2">
      <c r="A113" s="161"/>
      <c r="B113" s="161" t="s">
        <v>70</v>
      </c>
      <c r="C113" s="121">
        <v>5603</v>
      </c>
      <c r="D113" s="165" t="s">
        <v>154</v>
      </c>
      <c r="E113" s="125">
        <v>558.33333333333337</v>
      </c>
      <c r="F113" s="125">
        <v>558.33333333333337</v>
      </c>
      <c r="G113" s="125">
        <v>558.33333333333337</v>
      </c>
      <c r="H113" s="125">
        <v>558.33333333333337</v>
      </c>
      <c r="I113" s="125">
        <v>558.33333333333337</v>
      </c>
      <c r="J113" s="125">
        <v>558.33333333333337</v>
      </c>
      <c r="K113" s="125">
        <v>558.33333333333337</v>
      </c>
      <c r="L113" s="125">
        <v>558.33333333333337</v>
      </c>
      <c r="M113" s="125">
        <v>558.33333333333337</v>
      </c>
      <c r="N113" s="125">
        <v>558.33333333333337</v>
      </c>
      <c r="O113" s="125">
        <v>558.33333333333337</v>
      </c>
      <c r="P113" s="125">
        <v>558.33333333333337</v>
      </c>
      <c r="Q113" s="146">
        <v>0</v>
      </c>
      <c r="R113" s="125"/>
      <c r="S113" s="124">
        <f t="shared" si="44"/>
        <v>6699.9999999999991</v>
      </c>
      <c r="T113" s="125"/>
      <c r="U113" s="125">
        <f t="shared" si="45"/>
        <v>6699.9999999999991</v>
      </c>
      <c r="V113" s="125">
        <f t="shared" si="46"/>
        <v>0</v>
      </c>
      <c r="X113" s="125">
        <v>5994.2499999999991</v>
      </c>
      <c r="Y113" s="125">
        <f t="shared" si="47"/>
        <v>-705.75</v>
      </c>
    </row>
    <row r="114" spans="1:25" s="94" customFormat="1" ht="12" customHeight="1" x14ac:dyDescent="0.2">
      <c r="A114" s="161"/>
      <c r="B114" s="161" t="s">
        <v>70</v>
      </c>
      <c r="C114" s="121">
        <v>5604</v>
      </c>
      <c r="D114" s="165" t="s">
        <v>155</v>
      </c>
      <c r="E114" s="125">
        <v>3150</v>
      </c>
      <c r="F114" s="125">
        <v>3150</v>
      </c>
      <c r="G114" s="125">
        <v>3150</v>
      </c>
      <c r="H114" s="125">
        <v>3150</v>
      </c>
      <c r="I114" s="125">
        <v>3150</v>
      </c>
      <c r="J114" s="125">
        <v>3150</v>
      </c>
      <c r="K114" s="125">
        <v>3150</v>
      </c>
      <c r="L114" s="125">
        <v>3150</v>
      </c>
      <c r="M114" s="125">
        <v>3150</v>
      </c>
      <c r="N114" s="125">
        <v>3150</v>
      </c>
      <c r="O114" s="125">
        <v>3150</v>
      </c>
      <c r="P114" s="125">
        <v>3150</v>
      </c>
      <c r="Q114" s="146">
        <v>0</v>
      </c>
      <c r="R114" s="125"/>
      <c r="S114" s="124">
        <f t="shared" si="44"/>
        <v>37800</v>
      </c>
      <c r="T114" s="125"/>
      <c r="U114" s="125">
        <f t="shared" si="45"/>
        <v>37800</v>
      </c>
      <c r="V114" s="125">
        <f t="shared" si="46"/>
        <v>0</v>
      </c>
      <c r="X114" s="125">
        <v>33958.79</v>
      </c>
      <c r="Y114" s="125">
        <f t="shared" si="47"/>
        <v>-3841.2099999999991</v>
      </c>
    </row>
    <row r="115" spans="1:25" s="94" customFormat="1" ht="12" customHeight="1" x14ac:dyDescent="0.2">
      <c r="A115" s="161"/>
      <c r="B115" s="161" t="s">
        <v>70</v>
      </c>
      <c r="C115" s="121">
        <v>5605</v>
      </c>
      <c r="D115" s="165" t="s">
        <v>156</v>
      </c>
      <c r="E115" s="167">
        <v>33.333333333333336</v>
      </c>
      <c r="F115" s="167">
        <v>33.333333333333336</v>
      </c>
      <c r="G115" s="167">
        <v>33.333333333333336</v>
      </c>
      <c r="H115" s="167">
        <v>33.333333333333336</v>
      </c>
      <c r="I115" s="167">
        <v>33.333333333333336</v>
      </c>
      <c r="J115" s="167">
        <v>33.333333333333336</v>
      </c>
      <c r="K115" s="167">
        <v>33.333333333333336</v>
      </c>
      <c r="L115" s="167">
        <v>33.333333333333336</v>
      </c>
      <c r="M115" s="167">
        <v>33.333333333333336</v>
      </c>
      <c r="N115" s="167">
        <v>33.333333333333336</v>
      </c>
      <c r="O115" s="167">
        <v>33.333333333333336</v>
      </c>
      <c r="P115" s="167">
        <v>33.333333333333336</v>
      </c>
      <c r="Q115" s="146">
        <v>0</v>
      </c>
      <c r="R115" s="125"/>
      <c r="S115" s="124">
        <f t="shared" si="44"/>
        <v>399.99999999999994</v>
      </c>
      <c r="T115" s="125"/>
      <c r="U115" s="125">
        <f t="shared" si="45"/>
        <v>399.99999999999994</v>
      </c>
      <c r="V115" s="125">
        <f t="shared" si="46"/>
        <v>0</v>
      </c>
      <c r="X115" s="125">
        <v>350</v>
      </c>
      <c r="Y115" s="125">
        <f t="shared" si="47"/>
        <v>-49.999999999999943</v>
      </c>
    </row>
    <row r="116" spans="1:25" s="94" customFormat="1" ht="12" customHeight="1" x14ac:dyDescent="0.2">
      <c r="A116" s="161"/>
      <c r="B116" s="161" t="s">
        <v>70</v>
      </c>
      <c r="C116" s="121">
        <v>5610</v>
      </c>
      <c r="D116" s="165" t="s">
        <v>157</v>
      </c>
      <c r="E116" s="167">
        <v>1208.3333333333333</v>
      </c>
      <c r="F116" s="167">
        <v>1208.3333333333333</v>
      </c>
      <c r="G116" s="167">
        <v>1208.3333333333333</v>
      </c>
      <c r="H116" s="167">
        <v>1208.3333333333333</v>
      </c>
      <c r="I116" s="167">
        <v>1208.3333333333333</v>
      </c>
      <c r="J116" s="167">
        <v>1208.3333333333333</v>
      </c>
      <c r="K116" s="167">
        <v>1208.3333333333333</v>
      </c>
      <c r="L116" s="167">
        <v>1208.3333333333333</v>
      </c>
      <c r="M116" s="167">
        <v>1208.3333333333333</v>
      </c>
      <c r="N116" s="167">
        <v>1208.3333333333333</v>
      </c>
      <c r="O116" s="167">
        <v>1208.3333333333333</v>
      </c>
      <c r="P116" s="167">
        <v>1208.3333333333333</v>
      </c>
      <c r="Q116" s="146">
        <v>0</v>
      </c>
      <c r="R116" s="125"/>
      <c r="S116" s="124">
        <f t="shared" si="44"/>
        <v>14500.000000000002</v>
      </c>
      <c r="T116" s="125"/>
      <c r="U116" s="125">
        <f t="shared" si="45"/>
        <v>14500.000000000002</v>
      </c>
      <c r="V116" s="125">
        <f t="shared" si="46"/>
        <v>0</v>
      </c>
      <c r="X116" s="125">
        <v>13082.1</v>
      </c>
      <c r="Y116" s="125">
        <f t="shared" si="47"/>
        <v>-1417.9000000000015</v>
      </c>
    </row>
    <row r="117" spans="1:25" s="94" customFormat="1" ht="12" customHeight="1" x14ac:dyDescent="0.2">
      <c r="A117" s="161"/>
      <c r="B117" s="161" t="s">
        <v>70</v>
      </c>
      <c r="C117" s="163"/>
      <c r="D117" s="163"/>
      <c r="E117" s="131">
        <f t="shared" ref="E117:Q117" si="48">SUM(E111:E116)</f>
        <v>40601.041100000009</v>
      </c>
      <c r="F117" s="131">
        <f t="shared" si="48"/>
        <v>40601.041100000009</v>
      </c>
      <c r="G117" s="131">
        <f t="shared" si="48"/>
        <v>40601.041100000009</v>
      </c>
      <c r="H117" s="131">
        <f t="shared" si="48"/>
        <v>40601.041100000009</v>
      </c>
      <c r="I117" s="131">
        <f t="shared" si="48"/>
        <v>40601.041100000009</v>
      </c>
      <c r="J117" s="131">
        <f t="shared" si="48"/>
        <v>40601.041100000009</v>
      </c>
      <c r="K117" s="131">
        <f t="shared" si="48"/>
        <v>40601.041100000009</v>
      </c>
      <c r="L117" s="131">
        <f t="shared" si="48"/>
        <v>40601.041100000009</v>
      </c>
      <c r="M117" s="131">
        <f t="shared" si="48"/>
        <v>40601.041100000009</v>
      </c>
      <c r="N117" s="131">
        <f t="shared" si="48"/>
        <v>40601.041100000009</v>
      </c>
      <c r="O117" s="131">
        <f t="shared" si="48"/>
        <v>40601.041100000009</v>
      </c>
      <c r="P117" s="131">
        <f t="shared" si="48"/>
        <v>40601.041100000009</v>
      </c>
      <c r="Q117" s="130">
        <f t="shared" si="48"/>
        <v>0</v>
      </c>
      <c r="R117" s="125"/>
      <c r="S117" s="132">
        <f>SUM(E117:R117)</f>
        <v>487212.4932000002</v>
      </c>
      <c r="T117" s="125"/>
      <c r="U117" s="133">
        <f>SUM(U111:U116)</f>
        <v>487212.49320000014</v>
      </c>
      <c r="V117" s="133">
        <f>SUM(V111:V116)</f>
        <v>0</v>
      </c>
      <c r="X117" s="133">
        <f>SUM(X111:X116)</f>
        <v>449900.97999999992</v>
      </c>
      <c r="Y117" s="133">
        <f>SUM(Y111:Y116)</f>
        <v>-37311.513200000176</v>
      </c>
    </row>
    <row r="118" spans="1:25" s="94" customFormat="1" ht="12" customHeight="1" x14ac:dyDescent="0.2">
      <c r="A118" s="161"/>
      <c r="B118" s="161" t="s">
        <v>158</v>
      </c>
      <c r="C118" s="163"/>
      <c r="D118" s="163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46"/>
      <c r="R118" s="125"/>
      <c r="S118" s="136"/>
      <c r="T118" s="125"/>
      <c r="U118" s="125"/>
      <c r="V118" s="125"/>
      <c r="X118" s="125"/>
      <c r="Y118" s="125"/>
    </row>
    <row r="119" spans="1:25" s="94" customFormat="1" ht="12" customHeight="1" x14ac:dyDescent="0.2">
      <c r="A119" s="161"/>
      <c r="B119" s="161" t="s">
        <v>70</v>
      </c>
      <c r="C119" s="121">
        <v>5801</v>
      </c>
      <c r="D119" s="165" t="s">
        <v>159</v>
      </c>
      <c r="E119" s="167">
        <v>3675</v>
      </c>
      <c r="F119" s="167">
        <v>3675</v>
      </c>
      <c r="G119" s="167">
        <v>3675</v>
      </c>
      <c r="H119" s="167">
        <v>3675</v>
      </c>
      <c r="I119" s="167">
        <v>3675</v>
      </c>
      <c r="J119" s="167">
        <v>3675</v>
      </c>
      <c r="K119" s="167">
        <v>3675</v>
      </c>
      <c r="L119" s="167">
        <v>3675</v>
      </c>
      <c r="M119" s="167">
        <v>3675</v>
      </c>
      <c r="N119" s="167">
        <v>3675</v>
      </c>
      <c r="O119" s="167">
        <v>3675</v>
      </c>
      <c r="P119" s="167">
        <v>3675</v>
      </c>
      <c r="Q119" s="146">
        <v>0</v>
      </c>
      <c r="R119" s="125"/>
      <c r="S119" s="124">
        <f t="shared" ref="S119:S132" si="49">SUM(E119:Q119)</f>
        <v>44100</v>
      </c>
      <c r="T119" s="125"/>
      <c r="U119" s="125">
        <f t="shared" ref="U119:U133" si="50">S119</f>
        <v>44100</v>
      </c>
      <c r="V119" s="125">
        <f t="shared" ref="V119:V132" si="51">U119-S119</f>
        <v>0</v>
      </c>
      <c r="X119" s="125">
        <v>39672.050000000003</v>
      </c>
      <c r="Y119" s="125">
        <f t="shared" ref="Y119:Y132" si="52">X119-S119</f>
        <v>-4427.9499999999971</v>
      </c>
    </row>
    <row r="120" spans="1:25" s="94" customFormat="1" ht="12" customHeight="1" x14ac:dyDescent="0.2">
      <c r="A120" s="161"/>
      <c r="B120" s="161" t="s">
        <v>70</v>
      </c>
      <c r="C120" s="121">
        <v>5802</v>
      </c>
      <c r="D120" s="165" t="s">
        <v>160</v>
      </c>
      <c r="E120" s="167">
        <v>0</v>
      </c>
      <c r="F120" s="167">
        <v>0</v>
      </c>
      <c r="G120" s="167">
        <v>0</v>
      </c>
      <c r="H120" s="167">
        <v>2400</v>
      </c>
      <c r="I120" s="167">
        <v>2400</v>
      </c>
      <c r="J120" s="167">
        <v>2400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46">
        <v>0</v>
      </c>
      <c r="R120" s="125"/>
      <c r="S120" s="124">
        <f t="shared" si="49"/>
        <v>7200</v>
      </c>
      <c r="T120" s="125"/>
      <c r="U120" s="125">
        <f t="shared" si="50"/>
        <v>7200</v>
      </c>
      <c r="V120" s="125">
        <f t="shared" si="51"/>
        <v>0</v>
      </c>
      <c r="X120" s="125">
        <v>6500</v>
      </c>
      <c r="Y120" s="125">
        <f t="shared" si="52"/>
        <v>-700</v>
      </c>
    </row>
    <row r="121" spans="1:25" s="94" customFormat="1" ht="12" customHeight="1" x14ac:dyDescent="0.2">
      <c r="A121" s="161"/>
      <c r="B121" s="161" t="s">
        <v>70</v>
      </c>
      <c r="C121" s="121">
        <v>5803</v>
      </c>
      <c r="D121" s="165" t="s">
        <v>161</v>
      </c>
      <c r="E121" s="167">
        <v>2333.3333333333335</v>
      </c>
      <c r="F121" s="167">
        <v>2333.3333333333335</v>
      </c>
      <c r="G121" s="167">
        <v>2333.3333333333335</v>
      </c>
      <c r="H121" s="167">
        <v>2333.3333333333335</v>
      </c>
      <c r="I121" s="167">
        <v>2333.3333333333335</v>
      </c>
      <c r="J121" s="167">
        <v>2333.3333333333335</v>
      </c>
      <c r="K121" s="167">
        <v>2333.3333333333335</v>
      </c>
      <c r="L121" s="167">
        <v>2333.3333333333335</v>
      </c>
      <c r="M121" s="167">
        <v>2333.3333333333335</v>
      </c>
      <c r="N121" s="167">
        <v>2333.3333333333335</v>
      </c>
      <c r="O121" s="167">
        <v>2333.3333333333335</v>
      </c>
      <c r="P121" s="167">
        <v>2333.3333333333335</v>
      </c>
      <c r="Q121" s="146">
        <v>0</v>
      </c>
      <c r="R121" s="125"/>
      <c r="S121" s="124">
        <f t="shared" si="49"/>
        <v>27999.999999999996</v>
      </c>
      <c r="T121" s="125"/>
      <c r="U121" s="125">
        <f t="shared" si="50"/>
        <v>27999.999999999996</v>
      </c>
      <c r="V121" s="125">
        <f t="shared" si="51"/>
        <v>0</v>
      </c>
      <c r="X121" s="125">
        <v>33488.720000000001</v>
      </c>
      <c r="Y121" s="125">
        <f t="shared" si="52"/>
        <v>5488.7200000000048</v>
      </c>
    </row>
    <row r="122" spans="1:25" s="94" customFormat="1" ht="12" customHeight="1" x14ac:dyDescent="0.2">
      <c r="A122" s="161"/>
      <c r="B122" s="161" t="s">
        <v>70</v>
      </c>
      <c r="C122" s="121">
        <v>5804</v>
      </c>
      <c r="D122" s="165" t="s">
        <v>162</v>
      </c>
      <c r="E122" s="167">
        <v>0</v>
      </c>
      <c r="F122" s="167">
        <v>0</v>
      </c>
      <c r="G122" s="167">
        <v>570</v>
      </c>
      <c r="H122" s="167">
        <v>570</v>
      </c>
      <c r="I122" s="167">
        <v>570</v>
      </c>
      <c r="J122" s="167">
        <v>570</v>
      </c>
      <c r="K122" s="167">
        <v>570</v>
      </c>
      <c r="L122" s="167">
        <v>570</v>
      </c>
      <c r="M122" s="167">
        <v>570</v>
      </c>
      <c r="N122" s="167">
        <v>570</v>
      </c>
      <c r="O122" s="167">
        <v>570</v>
      </c>
      <c r="P122" s="167">
        <v>570</v>
      </c>
      <c r="Q122" s="146">
        <v>0</v>
      </c>
      <c r="R122" s="125"/>
      <c r="S122" s="124">
        <f t="shared" si="49"/>
        <v>5700</v>
      </c>
      <c r="T122" s="125"/>
      <c r="U122" s="125">
        <f t="shared" si="50"/>
        <v>5700</v>
      </c>
      <c r="V122" s="125">
        <f t="shared" si="51"/>
        <v>0</v>
      </c>
      <c r="X122" s="125">
        <v>5142</v>
      </c>
      <c r="Y122" s="125">
        <f t="shared" si="52"/>
        <v>-558</v>
      </c>
    </row>
    <row r="123" spans="1:25" s="94" customFormat="1" ht="12" customHeight="1" x14ac:dyDescent="0.2">
      <c r="A123" s="161"/>
      <c r="B123" s="161" t="s">
        <v>70</v>
      </c>
      <c r="C123" s="121">
        <v>5805</v>
      </c>
      <c r="D123" s="165" t="s">
        <v>163</v>
      </c>
      <c r="E123" s="167">
        <v>0</v>
      </c>
      <c r="F123" s="167">
        <v>0</v>
      </c>
      <c r="G123" s="167">
        <v>2500</v>
      </c>
      <c r="H123" s="167">
        <v>2500</v>
      </c>
      <c r="I123" s="167">
        <v>2500</v>
      </c>
      <c r="J123" s="167">
        <v>2500</v>
      </c>
      <c r="K123" s="167">
        <v>2500</v>
      </c>
      <c r="L123" s="167">
        <v>2500</v>
      </c>
      <c r="M123" s="167">
        <v>2500</v>
      </c>
      <c r="N123" s="167">
        <v>2500</v>
      </c>
      <c r="O123" s="167">
        <v>2500</v>
      </c>
      <c r="P123" s="167">
        <v>2500</v>
      </c>
      <c r="Q123" s="146">
        <v>0</v>
      </c>
      <c r="R123" s="125"/>
      <c r="S123" s="124">
        <f t="shared" si="49"/>
        <v>25000</v>
      </c>
      <c r="T123" s="125"/>
      <c r="U123" s="125">
        <f t="shared" si="50"/>
        <v>25000</v>
      </c>
      <c r="V123" s="125">
        <f t="shared" si="51"/>
        <v>0</v>
      </c>
      <c r="X123" s="125">
        <v>38222.65</v>
      </c>
      <c r="Y123" s="125">
        <f t="shared" si="52"/>
        <v>13222.650000000001</v>
      </c>
    </row>
    <row r="124" spans="1:25" s="94" customFormat="1" ht="12" customHeight="1" x14ac:dyDescent="0.2">
      <c r="A124" s="161"/>
      <c r="B124" s="161" t="s">
        <v>70</v>
      </c>
      <c r="C124" s="121">
        <v>5806</v>
      </c>
      <c r="D124" s="165" t="s">
        <v>164</v>
      </c>
      <c r="E124" s="167">
        <v>0</v>
      </c>
      <c r="F124" s="167">
        <v>0</v>
      </c>
      <c r="G124" s="167">
        <v>0</v>
      </c>
      <c r="H124" s="167">
        <v>0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46">
        <v>0</v>
      </c>
      <c r="R124" s="125"/>
      <c r="S124" s="124">
        <f>SUM(E124:Q124)</f>
        <v>0</v>
      </c>
      <c r="T124" s="125"/>
      <c r="U124" s="125">
        <f t="shared" si="50"/>
        <v>0</v>
      </c>
      <c r="V124" s="125">
        <f>U124-S124</f>
        <v>0</v>
      </c>
      <c r="X124" s="125">
        <v>0</v>
      </c>
      <c r="Y124" s="125">
        <f>X124-S124</f>
        <v>0</v>
      </c>
    </row>
    <row r="125" spans="1:25" s="94" customFormat="1" ht="12" customHeight="1" x14ac:dyDescent="0.2">
      <c r="A125" s="161"/>
      <c r="B125" s="161" t="s">
        <v>70</v>
      </c>
      <c r="C125" s="121">
        <v>5807</v>
      </c>
      <c r="D125" s="165" t="s">
        <v>165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  <c r="J125" s="125">
        <v>0</v>
      </c>
      <c r="K125" s="125">
        <v>0</v>
      </c>
      <c r="L125" s="125">
        <v>0</v>
      </c>
      <c r="M125" s="125">
        <v>0</v>
      </c>
      <c r="N125" s="125">
        <v>0</v>
      </c>
      <c r="O125" s="125">
        <v>0</v>
      </c>
      <c r="P125" s="125">
        <v>0</v>
      </c>
      <c r="Q125" s="146">
        <v>0</v>
      </c>
      <c r="R125" s="125"/>
      <c r="S125" s="124">
        <f>SUM(E125:Q125)</f>
        <v>0</v>
      </c>
      <c r="T125" s="125"/>
      <c r="U125" s="125">
        <f t="shared" si="50"/>
        <v>0</v>
      </c>
      <c r="V125" s="125">
        <f>U125-S125</f>
        <v>0</v>
      </c>
      <c r="X125" s="125">
        <v>20</v>
      </c>
      <c r="Y125" s="125">
        <f>X125-S125</f>
        <v>20</v>
      </c>
    </row>
    <row r="126" spans="1:25" s="94" customFormat="1" ht="12" customHeight="1" x14ac:dyDescent="0.2">
      <c r="A126" s="161"/>
      <c r="B126" s="161" t="s">
        <v>70</v>
      </c>
      <c r="C126" s="121">
        <v>5808</v>
      </c>
      <c r="D126" s="165" t="s">
        <v>166</v>
      </c>
      <c r="E126" s="167">
        <v>0</v>
      </c>
      <c r="F126" s="167">
        <v>0</v>
      </c>
      <c r="G126" s="167">
        <v>4010</v>
      </c>
      <c r="H126" s="167">
        <v>4010</v>
      </c>
      <c r="I126" s="167">
        <v>4010</v>
      </c>
      <c r="J126" s="167">
        <v>4010</v>
      </c>
      <c r="K126" s="167">
        <v>4010</v>
      </c>
      <c r="L126" s="167">
        <v>4010</v>
      </c>
      <c r="M126" s="167">
        <v>4010</v>
      </c>
      <c r="N126" s="167">
        <v>4010</v>
      </c>
      <c r="O126" s="167">
        <v>4010</v>
      </c>
      <c r="P126" s="167">
        <v>4010</v>
      </c>
      <c r="Q126" s="146">
        <v>0</v>
      </c>
      <c r="R126" s="125"/>
      <c r="S126" s="124">
        <f>SUM(E126:Q126)</f>
        <v>40100</v>
      </c>
      <c r="T126" s="125"/>
      <c r="U126" s="125">
        <f t="shared" si="50"/>
        <v>40100</v>
      </c>
      <c r="V126" s="125">
        <f>U126-S126</f>
        <v>0</v>
      </c>
      <c r="X126" s="125">
        <v>36080.060000000005</v>
      </c>
      <c r="Y126" s="125">
        <f>X126-S126</f>
        <v>-4019.9399999999951</v>
      </c>
    </row>
    <row r="127" spans="1:25" s="94" customFormat="1" ht="12" customHeight="1" x14ac:dyDescent="0.2">
      <c r="A127" s="161"/>
      <c r="B127" s="161" t="s">
        <v>70</v>
      </c>
      <c r="C127" s="121">
        <v>5809</v>
      </c>
      <c r="D127" s="165" t="s">
        <v>167</v>
      </c>
      <c r="E127" s="167">
        <v>0</v>
      </c>
      <c r="F127" s="167">
        <v>0</v>
      </c>
      <c r="G127" s="167">
        <v>440</v>
      </c>
      <c r="H127" s="167">
        <v>440</v>
      </c>
      <c r="I127" s="167">
        <v>440</v>
      </c>
      <c r="J127" s="167">
        <v>440</v>
      </c>
      <c r="K127" s="167">
        <v>440</v>
      </c>
      <c r="L127" s="167">
        <v>440</v>
      </c>
      <c r="M127" s="167">
        <v>440</v>
      </c>
      <c r="N127" s="167">
        <v>440</v>
      </c>
      <c r="O127" s="167">
        <v>440</v>
      </c>
      <c r="P127" s="167">
        <v>440</v>
      </c>
      <c r="Q127" s="146">
        <v>0</v>
      </c>
      <c r="R127" s="125"/>
      <c r="S127" s="124">
        <f>SUM(E127:Q127)</f>
        <v>4400</v>
      </c>
      <c r="T127" s="125"/>
      <c r="U127" s="125">
        <f t="shared" si="50"/>
        <v>4400</v>
      </c>
      <c r="V127" s="125">
        <f>U127-S127</f>
        <v>0</v>
      </c>
      <c r="X127" s="125">
        <v>3958.87</v>
      </c>
      <c r="Y127" s="125">
        <f>X127-S127</f>
        <v>-441.13000000000011</v>
      </c>
    </row>
    <row r="128" spans="1:25" s="94" customFormat="1" ht="12" customHeight="1" x14ac:dyDescent="0.2">
      <c r="A128" s="161"/>
      <c r="B128" s="161" t="s">
        <v>70</v>
      </c>
      <c r="C128" s="121">
        <v>5810</v>
      </c>
      <c r="D128" s="165" t="s">
        <v>168</v>
      </c>
      <c r="E128" s="125">
        <v>491.66666666666669</v>
      </c>
      <c r="F128" s="125">
        <v>491.66666666666669</v>
      </c>
      <c r="G128" s="125">
        <v>491.66666666666669</v>
      </c>
      <c r="H128" s="125">
        <v>491.66666666666669</v>
      </c>
      <c r="I128" s="125">
        <v>491.66666666666669</v>
      </c>
      <c r="J128" s="125">
        <v>491.66666666666669</v>
      </c>
      <c r="K128" s="125">
        <v>491.66666666666669</v>
      </c>
      <c r="L128" s="125">
        <v>491.66666666666669</v>
      </c>
      <c r="M128" s="125">
        <v>491.66666666666669</v>
      </c>
      <c r="N128" s="125">
        <v>491.66666666666669</v>
      </c>
      <c r="O128" s="125">
        <v>491.66666666666669</v>
      </c>
      <c r="P128" s="125">
        <v>491.66666666666669</v>
      </c>
      <c r="Q128" s="146">
        <v>0</v>
      </c>
      <c r="R128" s="125"/>
      <c r="S128" s="124">
        <f t="shared" si="49"/>
        <v>5900.0000000000009</v>
      </c>
      <c r="T128" s="125"/>
      <c r="U128" s="125">
        <f t="shared" si="50"/>
        <v>5900.0000000000009</v>
      </c>
      <c r="V128" s="125">
        <f t="shared" si="51"/>
        <v>0</v>
      </c>
      <c r="X128" s="125">
        <v>5312.69</v>
      </c>
      <c r="Y128" s="125">
        <f t="shared" si="52"/>
        <v>-587.31000000000131</v>
      </c>
    </row>
    <row r="129" spans="1:25" s="94" customFormat="1" ht="12" customHeight="1" x14ac:dyDescent="0.2">
      <c r="A129" s="161"/>
      <c r="B129" s="161" t="s">
        <v>70</v>
      </c>
      <c r="C129" s="121">
        <v>5811</v>
      </c>
      <c r="D129" s="165" t="s">
        <v>169</v>
      </c>
      <c r="E129" s="125">
        <v>8136.3900567143755</v>
      </c>
      <c r="F129" s="125">
        <v>8136.3900567143755</v>
      </c>
      <c r="G129" s="125">
        <v>8136.3900567143755</v>
      </c>
      <c r="H129" s="125">
        <v>8136.3900567143755</v>
      </c>
      <c r="I129" s="125">
        <v>8136.3900567143755</v>
      </c>
      <c r="J129" s="125">
        <v>8136.3900567143755</v>
      </c>
      <c r="K129" s="125">
        <v>8136.3900567143755</v>
      </c>
      <c r="L129" s="125">
        <v>8136.3900567143755</v>
      </c>
      <c r="M129" s="125">
        <v>8136.3900567143755</v>
      </c>
      <c r="N129" s="125">
        <v>8136.3900567143755</v>
      </c>
      <c r="O129" s="125">
        <v>8136.3900567143755</v>
      </c>
      <c r="P129" s="125">
        <v>8136.3900567143755</v>
      </c>
      <c r="Q129" s="146">
        <v>0</v>
      </c>
      <c r="R129" s="125"/>
      <c r="S129" s="124">
        <f t="shared" si="49"/>
        <v>97636.680680572477</v>
      </c>
      <c r="T129" s="125"/>
      <c r="U129" s="125">
        <f t="shared" si="50"/>
        <v>97636.680680572477</v>
      </c>
      <c r="V129" s="125">
        <f t="shared" si="51"/>
        <v>0</v>
      </c>
      <c r="X129" s="125">
        <v>104743.19465236404</v>
      </c>
      <c r="Y129" s="125">
        <f t="shared" si="52"/>
        <v>7106.513971791559</v>
      </c>
    </row>
    <row r="130" spans="1:25" s="94" customFormat="1" ht="12" customHeight="1" x14ac:dyDescent="0.2">
      <c r="A130" s="161"/>
      <c r="B130" s="161" t="s">
        <v>70</v>
      </c>
      <c r="C130" s="121">
        <v>5812</v>
      </c>
      <c r="D130" s="165" t="s">
        <v>170</v>
      </c>
      <c r="E130" s="125">
        <v>0</v>
      </c>
      <c r="F130" s="125">
        <v>1494.3741398797292</v>
      </c>
      <c r="G130" s="125">
        <v>1922.6140962673294</v>
      </c>
      <c r="H130" s="125">
        <v>2618.2781388026324</v>
      </c>
      <c r="I130" s="125">
        <v>2490.0281388026324</v>
      </c>
      <c r="J130" s="125">
        <v>2490.0281388026324</v>
      </c>
      <c r="K130" s="125">
        <v>2618.2781388026324</v>
      </c>
      <c r="L130" s="125">
        <v>2490.0281388026324</v>
      </c>
      <c r="M130" s="125">
        <v>3661.9616674747158</v>
      </c>
      <c r="N130" s="125">
        <v>3157.4388944325156</v>
      </c>
      <c r="O130" s="125">
        <v>3029.1888944325156</v>
      </c>
      <c r="P130" s="125">
        <v>3029.1888944325156</v>
      </c>
      <c r="Q130" s="146">
        <v>3157.448894432513</v>
      </c>
      <c r="R130" s="125"/>
      <c r="S130" s="124">
        <f t="shared" si="49"/>
        <v>32158.856175364996</v>
      </c>
      <c r="T130" s="125"/>
      <c r="U130" s="125">
        <f t="shared" si="50"/>
        <v>32158.856175364996</v>
      </c>
      <c r="V130" s="125">
        <f t="shared" si="51"/>
        <v>0</v>
      </c>
      <c r="X130" s="125">
        <v>27165.579019832629</v>
      </c>
      <c r="Y130" s="125">
        <f t="shared" si="52"/>
        <v>-4993.277155532367</v>
      </c>
    </row>
    <row r="131" spans="1:25" s="94" customFormat="1" ht="12" customHeight="1" x14ac:dyDescent="0.2">
      <c r="A131" s="161"/>
      <c r="B131" s="161" t="s">
        <v>70</v>
      </c>
      <c r="C131" s="121">
        <v>5813</v>
      </c>
      <c r="D131" s="165" t="s">
        <v>171</v>
      </c>
      <c r="E131" s="125">
        <v>0</v>
      </c>
      <c r="F131" s="125">
        <v>0</v>
      </c>
      <c r="G131" s="125">
        <v>0</v>
      </c>
      <c r="H131" s="125">
        <v>975</v>
      </c>
      <c r="I131" s="125">
        <v>0</v>
      </c>
      <c r="J131" s="125">
        <v>0</v>
      </c>
      <c r="K131" s="125">
        <v>975</v>
      </c>
      <c r="L131" s="125">
        <v>0</v>
      </c>
      <c r="M131" s="125">
        <v>0</v>
      </c>
      <c r="N131" s="125">
        <v>975</v>
      </c>
      <c r="O131" s="125">
        <v>0</v>
      </c>
      <c r="P131" s="125">
        <v>0</v>
      </c>
      <c r="Q131" s="146">
        <v>975</v>
      </c>
      <c r="R131" s="125"/>
      <c r="S131" s="124">
        <f t="shared" si="49"/>
        <v>3900</v>
      </c>
      <c r="T131" s="125"/>
      <c r="U131" s="125">
        <f t="shared" si="50"/>
        <v>3900</v>
      </c>
      <c r="V131" s="125">
        <f t="shared" si="51"/>
        <v>0</v>
      </c>
      <c r="X131" s="125">
        <v>3497</v>
      </c>
      <c r="Y131" s="125">
        <f t="shared" si="52"/>
        <v>-403</v>
      </c>
    </row>
    <row r="132" spans="1:25" s="94" customFormat="1" ht="12" customHeight="1" x14ac:dyDescent="0.2">
      <c r="A132" s="161"/>
      <c r="B132" s="161" t="s">
        <v>70</v>
      </c>
      <c r="C132" s="121">
        <v>5814</v>
      </c>
      <c r="D132" s="165" t="s">
        <v>172</v>
      </c>
      <c r="E132" s="125">
        <v>0</v>
      </c>
      <c r="F132" s="125">
        <v>1990.7494140000003</v>
      </c>
      <c r="G132" s="125">
        <v>1990.7494140000003</v>
      </c>
      <c r="H132" s="125">
        <v>3583.3489452000003</v>
      </c>
      <c r="I132" s="125">
        <v>3583.3489452000003</v>
      </c>
      <c r="J132" s="125">
        <v>3583.3489452000003</v>
      </c>
      <c r="K132" s="125">
        <v>3583.3489452000003</v>
      </c>
      <c r="L132" s="125">
        <v>3583.3489452000003</v>
      </c>
      <c r="M132" s="125">
        <v>4474.7312892</v>
      </c>
      <c r="N132" s="125">
        <v>4474.7312891999991</v>
      </c>
      <c r="O132" s="125">
        <v>4474.7312891999991</v>
      </c>
      <c r="P132" s="125">
        <v>4474.7312891999991</v>
      </c>
      <c r="Q132" s="146">
        <v>4474.7312892000045</v>
      </c>
      <c r="R132" s="125"/>
      <c r="S132" s="124">
        <f t="shared" si="49"/>
        <v>44271.9</v>
      </c>
      <c r="T132" s="125"/>
      <c r="U132" s="125">
        <f t="shared" si="50"/>
        <v>44271.9</v>
      </c>
      <c r="V132" s="125">
        <f t="shared" si="51"/>
        <v>0</v>
      </c>
      <c r="X132" s="125">
        <v>39844.515038400008</v>
      </c>
      <c r="Y132" s="125">
        <f t="shared" si="52"/>
        <v>-4427.3849615999934</v>
      </c>
    </row>
    <row r="133" spans="1:25" s="94" customFormat="1" ht="12" customHeight="1" x14ac:dyDescent="0.2">
      <c r="A133" s="161"/>
      <c r="B133" s="161" t="s">
        <v>70</v>
      </c>
      <c r="C133" s="121">
        <v>5815</v>
      </c>
      <c r="D133" s="165" t="s">
        <v>173</v>
      </c>
      <c r="E133" s="167">
        <v>0</v>
      </c>
      <c r="F133" s="167">
        <v>0</v>
      </c>
      <c r="G133" s="167">
        <v>160</v>
      </c>
      <c r="H133" s="167">
        <v>160</v>
      </c>
      <c r="I133" s="167">
        <v>160</v>
      </c>
      <c r="J133" s="167">
        <v>160</v>
      </c>
      <c r="K133" s="167">
        <v>160</v>
      </c>
      <c r="L133" s="167">
        <v>160</v>
      </c>
      <c r="M133" s="167">
        <v>160</v>
      </c>
      <c r="N133" s="167">
        <v>160</v>
      </c>
      <c r="O133" s="167">
        <v>160</v>
      </c>
      <c r="P133" s="167">
        <v>160</v>
      </c>
      <c r="Q133" s="146">
        <v>0</v>
      </c>
      <c r="R133" s="125"/>
      <c r="S133" s="124">
        <f>SUM(E133:Q133)</f>
        <v>1600</v>
      </c>
      <c r="T133" s="125"/>
      <c r="U133" s="125">
        <f t="shared" si="50"/>
        <v>1600</v>
      </c>
      <c r="V133" s="125">
        <f>U133-S133</f>
        <v>0</v>
      </c>
      <c r="X133" s="125">
        <v>1470</v>
      </c>
      <c r="Y133" s="125">
        <f>X133-S133</f>
        <v>-130</v>
      </c>
    </row>
    <row r="134" spans="1:25" s="94" customFormat="1" ht="12" customHeight="1" x14ac:dyDescent="0.2">
      <c r="A134" s="161"/>
      <c r="B134" s="161" t="s">
        <v>70</v>
      </c>
      <c r="C134" s="163"/>
      <c r="D134" s="163"/>
      <c r="E134" s="131">
        <f t="shared" ref="E134:Q134" si="53">SUM(E119:E133)</f>
        <v>14636.390056714376</v>
      </c>
      <c r="F134" s="131">
        <f t="shared" si="53"/>
        <v>18121.513610594106</v>
      </c>
      <c r="G134" s="131">
        <f t="shared" si="53"/>
        <v>26229.753566981708</v>
      </c>
      <c r="H134" s="131">
        <f t="shared" si="53"/>
        <v>31893.017140717006</v>
      </c>
      <c r="I134" s="131">
        <f t="shared" si="53"/>
        <v>30789.767140717006</v>
      </c>
      <c r="J134" s="131">
        <f t="shared" si="53"/>
        <v>30789.767140717006</v>
      </c>
      <c r="K134" s="131">
        <f t="shared" si="53"/>
        <v>29493.017140717006</v>
      </c>
      <c r="L134" s="131">
        <f t="shared" si="53"/>
        <v>28389.767140717006</v>
      </c>
      <c r="M134" s="131">
        <f t="shared" si="53"/>
        <v>30453.083013389092</v>
      </c>
      <c r="N134" s="131">
        <f t="shared" si="53"/>
        <v>30923.560240346887</v>
      </c>
      <c r="O134" s="131">
        <f t="shared" si="53"/>
        <v>29820.310240346887</v>
      </c>
      <c r="P134" s="131">
        <f t="shared" si="53"/>
        <v>29820.310240346887</v>
      </c>
      <c r="Q134" s="130">
        <f t="shared" si="53"/>
        <v>8607.1801836325176</v>
      </c>
      <c r="R134" s="125"/>
      <c r="S134" s="132">
        <f>SUM(E134:R134)</f>
        <v>339967.43685593753</v>
      </c>
      <c r="T134" s="125"/>
      <c r="U134" s="133">
        <f>SUM(U119:U133)</f>
        <v>339967.43685593747</v>
      </c>
      <c r="V134" s="133">
        <f>SUM(V119:V133)</f>
        <v>0</v>
      </c>
      <c r="X134" s="133">
        <f>SUM(X119:X133)</f>
        <v>345117.32871059672</v>
      </c>
      <c r="Y134" s="133">
        <f>SUM(Y119:Y133)</f>
        <v>5149.8918546592104</v>
      </c>
    </row>
    <row r="135" spans="1:25" s="94" customFormat="1" ht="12" customHeight="1" x14ac:dyDescent="0.2">
      <c r="A135" s="161"/>
      <c r="B135" s="161" t="s">
        <v>174</v>
      </c>
      <c r="C135" s="121"/>
      <c r="D135" s="128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46"/>
      <c r="R135" s="125"/>
      <c r="S135" s="136"/>
      <c r="T135" s="125"/>
      <c r="U135" s="125"/>
      <c r="V135" s="125"/>
      <c r="X135" s="125"/>
      <c r="Y135" s="125"/>
    </row>
    <row r="136" spans="1:25" s="94" customFormat="1" ht="12" customHeight="1" x14ac:dyDescent="0.2">
      <c r="A136" s="161"/>
      <c r="B136" s="161" t="s">
        <v>70</v>
      </c>
      <c r="C136" s="121">
        <v>6900</v>
      </c>
      <c r="D136" s="128" t="s">
        <v>175</v>
      </c>
      <c r="E136" s="125">
        <v>1500</v>
      </c>
      <c r="F136" s="125">
        <v>1500</v>
      </c>
      <c r="G136" s="125">
        <v>1500</v>
      </c>
      <c r="H136" s="125">
        <v>1500</v>
      </c>
      <c r="I136" s="125">
        <v>1500</v>
      </c>
      <c r="J136" s="125">
        <v>1500</v>
      </c>
      <c r="K136" s="125">
        <v>1500</v>
      </c>
      <c r="L136" s="125">
        <v>1500</v>
      </c>
      <c r="M136" s="125">
        <v>1500</v>
      </c>
      <c r="N136" s="125">
        <v>1500</v>
      </c>
      <c r="O136" s="125">
        <v>1500</v>
      </c>
      <c r="P136" s="125">
        <v>1500</v>
      </c>
      <c r="Q136" s="146">
        <v>0</v>
      </c>
      <c r="R136" s="125"/>
      <c r="S136" s="124">
        <f t="shared" ref="S136" si="54">SUM(E136:Q136)</f>
        <v>18000</v>
      </c>
      <c r="T136" s="125"/>
      <c r="U136" s="125">
        <f t="shared" ref="U136:U139" si="55">S136</f>
        <v>18000</v>
      </c>
      <c r="V136" s="125">
        <f t="shared" ref="V136" si="56">U136-S136</f>
        <v>0</v>
      </c>
      <c r="X136" s="125">
        <v>16174.020000000002</v>
      </c>
      <c r="Y136" s="125">
        <f t="shared" ref="Y136" si="57">X136-S136</f>
        <v>-1825.9799999999977</v>
      </c>
    </row>
    <row r="137" spans="1:25" s="94" customFormat="1" ht="12" customHeight="1" x14ac:dyDescent="0.2">
      <c r="A137" s="161"/>
      <c r="B137" s="161" t="s">
        <v>70</v>
      </c>
      <c r="C137" s="163"/>
      <c r="D137" s="163"/>
      <c r="E137" s="131">
        <f t="shared" ref="E137:Q137" si="58">SUM(E136:E136)</f>
        <v>1500</v>
      </c>
      <c r="F137" s="131">
        <f t="shared" si="58"/>
        <v>1500</v>
      </c>
      <c r="G137" s="131">
        <f t="shared" si="58"/>
        <v>1500</v>
      </c>
      <c r="H137" s="131">
        <f t="shared" si="58"/>
        <v>1500</v>
      </c>
      <c r="I137" s="131">
        <f t="shared" si="58"/>
        <v>1500</v>
      </c>
      <c r="J137" s="131">
        <f t="shared" si="58"/>
        <v>1500</v>
      </c>
      <c r="K137" s="131">
        <f t="shared" si="58"/>
        <v>1500</v>
      </c>
      <c r="L137" s="131">
        <f t="shared" si="58"/>
        <v>1500</v>
      </c>
      <c r="M137" s="131">
        <f t="shared" si="58"/>
        <v>1500</v>
      </c>
      <c r="N137" s="131">
        <f t="shared" si="58"/>
        <v>1500</v>
      </c>
      <c r="O137" s="131">
        <f t="shared" si="58"/>
        <v>1500</v>
      </c>
      <c r="P137" s="131">
        <f t="shared" si="58"/>
        <v>1500</v>
      </c>
      <c r="Q137" s="130">
        <f t="shared" si="58"/>
        <v>0</v>
      </c>
      <c r="R137" s="125"/>
      <c r="S137" s="132">
        <f>SUM(E137:R137)</f>
        <v>18000</v>
      </c>
      <c r="T137" s="158"/>
      <c r="U137" s="133">
        <f>U136</f>
        <v>18000</v>
      </c>
      <c r="V137" s="133">
        <f>V136</f>
        <v>0</v>
      </c>
      <c r="X137" s="133">
        <f>X136</f>
        <v>16174.020000000002</v>
      </c>
      <c r="Y137" s="133">
        <f>Y136</f>
        <v>-1825.9799999999977</v>
      </c>
    </row>
    <row r="138" spans="1:25" s="94" customFormat="1" ht="12" customHeight="1" x14ac:dyDescent="0.2">
      <c r="A138" s="161"/>
      <c r="B138" s="161" t="s">
        <v>176</v>
      </c>
      <c r="C138" s="121"/>
      <c r="D138" s="128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46"/>
      <c r="R138" s="125"/>
      <c r="S138" s="136"/>
      <c r="T138" s="125"/>
      <c r="U138" s="125"/>
      <c r="V138" s="125"/>
      <c r="X138" s="125"/>
      <c r="Y138" s="125"/>
    </row>
    <row r="139" spans="1:25" s="94" customFormat="1" ht="12" customHeight="1" x14ac:dyDescent="0.2">
      <c r="A139" s="161"/>
      <c r="B139" s="161" t="s">
        <v>70</v>
      </c>
      <c r="C139" s="121">
        <v>7438</v>
      </c>
      <c r="D139" s="128" t="s">
        <v>177</v>
      </c>
      <c r="E139" s="125">
        <f t="shared" ref="E139:O139" si="59">E163*0.04</f>
        <v>0</v>
      </c>
      <c r="F139" s="125">
        <f t="shared" si="59"/>
        <v>0</v>
      </c>
      <c r="G139" s="125">
        <f t="shared" si="59"/>
        <v>0</v>
      </c>
      <c r="H139" s="125">
        <f t="shared" si="59"/>
        <v>0</v>
      </c>
      <c r="I139" s="125">
        <f t="shared" si="59"/>
        <v>0</v>
      </c>
      <c r="J139" s="125">
        <f t="shared" si="59"/>
        <v>0</v>
      </c>
      <c r="K139" s="125">
        <f t="shared" si="59"/>
        <v>0</v>
      </c>
      <c r="L139" s="125">
        <f t="shared" si="59"/>
        <v>0</v>
      </c>
      <c r="M139" s="125">
        <f t="shared" si="59"/>
        <v>0</v>
      </c>
      <c r="N139" s="125">
        <f t="shared" si="59"/>
        <v>0</v>
      </c>
      <c r="O139" s="125">
        <f t="shared" si="59"/>
        <v>0</v>
      </c>
      <c r="P139" s="125">
        <f>P163*0.04</f>
        <v>0</v>
      </c>
      <c r="Q139" s="146">
        <v>0</v>
      </c>
      <c r="R139" s="125"/>
      <c r="S139" s="124">
        <f t="shared" ref="S139" si="60">SUM(E139:Q139)</f>
        <v>0</v>
      </c>
      <c r="T139" s="125"/>
      <c r="U139" s="125">
        <f t="shared" si="55"/>
        <v>0</v>
      </c>
      <c r="V139" s="125">
        <f t="shared" ref="V139" si="61">U139-S139</f>
        <v>0</v>
      </c>
      <c r="X139" s="125">
        <v>0</v>
      </c>
      <c r="Y139" s="125">
        <f t="shared" ref="Y139" si="62">X139-S139</f>
        <v>0</v>
      </c>
    </row>
    <row r="140" spans="1:25" s="94" customFormat="1" ht="12" customHeight="1" x14ac:dyDescent="0.2">
      <c r="A140" s="161"/>
      <c r="B140" s="161"/>
      <c r="C140" s="163"/>
      <c r="D140" s="163"/>
      <c r="E140" s="131">
        <f t="shared" ref="E140:Q140" si="63">SUM(E139:E139)</f>
        <v>0</v>
      </c>
      <c r="F140" s="131">
        <f t="shared" si="63"/>
        <v>0</v>
      </c>
      <c r="G140" s="131">
        <f t="shared" si="63"/>
        <v>0</v>
      </c>
      <c r="H140" s="131">
        <f t="shared" si="63"/>
        <v>0</v>
      </c>
      <c r="I140" s="131">
        <f t="shared" si="63"/>
        <v>0</v>
      </c>
      <c r="J140" s="131">
        <f t="shared" si="63"/>
        <v>0</v>
      </c>
      <c r="K140" s="131">
        <f t="shared" si="63"/>
        <v>0</v>
      </c>
      <c r="L140" s="131">
        <f t="shared" si="63"/>
        <v>0</v>
      </c>
      <c r="M140" s="131">
        <f t="shared" si="63"/>
        <v>0</v>
      </c>
      <c r="N140" s="131">
        <f t="shared" si="63"/>
        <v>0</v>
      </c>
      <c r="O140" s="131">
        <f t="shared" si="63"/>
        <v>0</v>
      </c>
      <c r="P140" s="131">
        <f t="shared" si="63"/>
        <v>0</v>
      </c>
      <c r="Q140" s="130">
        <f t="shared" si="63"/>
        <v>0</v>
      </c>
      <c r="R140" s="125"/>
      <c r="S140" s="132">
        <f>SUM(E140:R140)</f>
        <v>0</v>
      </c>
      <c r="T140" s="158"/>
      <c r="U140" s="133">
        <f>U139</f>
        <v>0</v>
      </c>
      <c r="V140" s="133">
        <f>V139</f>
        <v>0</v>
      </c>
      <c r="X140" s="133">
        <f>X139</f>
        <v>0</v>
      </c>
      <c r="Y140" s="133">
        <f>Y139</f>
        <v>0</v>
      </c>
    </row>
    <row r="141" spans="1:25" s="94" customFormat="1" ht="12" customHeight="1" x14ac:dyDescent="0.2">
      <c r="A141" s="161"/>
      <c r="B141" s="161"/>
      <c r="C141" s="163"/>
      <c r="D141" s="163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46"/>
      <c r="R141" s="125"/>
      <c r="S141" s="136"/>
      <c r="T141" s="125"/>
      <c r="U141" s="125"/>
      <c r="V141" s="125"/>
      <c r="X141" s="125"/>
      <c r="Y141" s="125"/>
    </row>
    <row r="142" spans="1:25" s="119" customFormat="1" ht="12" customHeight="1" x14ac:dyDescent="0.2">
      <c r="A142" s="90" t="s">
        <v>178</v>
      </c>
      <c r="B142" s="90"/>
      <c r="C142" s="90"/>
      <c r="D142" s="90"/>
      <c r="E142" s="133">
        <f t="shared" ref="E142:Q142" si="64">E140+E137+E109+E117+E134+E98+E90+E79+E69+E62</f>
        <v>112148.00899004772</v>
      </c>
      <c r="F142" s="133">
        <f t="shared" si="64"/>
        <v>475639.05663613195</v>
      </c>
      <c r="G142" s="133">
        <f t="shared" si="64"/>
        <v>510457.29659251962</v>
      </c>
      <c r="H142" s="133">
        <f t="shared" si="64"/>
        <v>516120.56016625487</v>
      </c>
      <c r="I142" s="133">
        <f t="shared" si="64"/>
        <v>515017.31016625487</v>
      </c>
      <c r="J142" s="133">
        <f t="shared" si="64"/>
        <v>506842.31016625487</v>
      </c>
      <c r="K142" s="133">
        <f t="shared" si="64"/>
        <v>360667.9601662549</v>
      </c>
      <c r="L142" s="133">
        <f t="shared" si="64"/>
        <v>358903.2101662549</v>
      </c>
      <c r="M142" s="133">
        <f t="shared" si="64"/>
        <v>359643.52603892703</v>
      </c>
      <c r="N142" s="133">
        <f t="shared" si="64"/>
        <v>359452.50326588482</v>
      </c>
      <c r="O142" s="133">
        <f t="shared" si="64"/>
        <v>358349.25326588482</v>
      </c>
      <c r="P142" s="133">
        <f t="shared" si="64"/>
        <v>358349.25326588482</v>
      </c>
      <c r="Q142" s="171">
        <f t="shared" si="64"/>
        <v>8607.1801836325176</v>
      </c>
      <c r="R142" s="158"/>
      <c r="S142" s="216">
        <f>S140+S137+S109+S117+S134+S98+S90+S79+S69+S62</f>
        <v>4800197.4290701877</v>
      </c>
      <c r="T142" s="158"/>
      <c r="U142" s="133">
        <f>U140+U137+U109+U117+U134+U98+U90+U79+U69+U62</f>
        <v>4800197.4290701877</v>
      </c>
      <c r="V142" s="133">
        <f>V140+V137+V109+V117+V134+V98+V90+V79+V69+V62</f>
        <v>0</v>
      </c>
      <c r="W142" s="94"/>
      <c r="X142" s="133">
        <f>X140+X137+X109+X117+X134+X98+X90+X79+X69+X62</f>
        <v>4258584.3497314099</v>
      </c>
      <c r="Y142" s="133">
        <f>Y140+Y137+Y109+Y117+Y134+Y98+Y90+Y79+Y69+Y62</f>
        <v>-541613.07933877816</v>
      </c>
    </row>
    <row r="143" spans="1:25" s="94" customFormat="1" ht="12" customHeight="1" x14ac:dyDescent="0.2"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46"/>
      <c r="R143" s="125"/>
      <c r="S143" s="136"/>
      <c r="T143" s="158"/>
      <c r="U143" s="158"/>
      <c r="V143" s="158"/>
      <c r="X143" s="158"/>
      <c r="Y143" s="158"/>
    </row>
    <row r="144" spans="1:25" s="172" customFormat="1" ht="12" customHeight="1" thickBot="1" x14ac:dyDescent="0.25">
      <c r="A144" s="172" t="s">
        <v>179</v>
      </c>
      <c r="E144" s="175">
        <f t="shared" ref="E144:U144" si="65">E52-E142</f>
        <v>-112148.00899004772</v>
      </c>
      <c r="F144" s="175">
        <f t="shared" si="65"/>
        <v>-316247.89557815902</v>
      </c>
      <c r="G144" s="175">
        <f t="shared" si="65"/>
        <v>-276109.38989578665</v>
      </c>
      <c r="H144" s="175">
        <f t="shared" si="65"/>
        <v>-231188.75223486667</v>
      </c>
      <c r="I144" s="175">
        <f t="shared" si="65"/>
        <v>64183.522157745785</v>
      </c>
      <c r="J144" s="175">
        <f t="shared" si="65"/>
        <v>-129779.50013425417</v>
      </c>
      <c r="K144" s="175">
        <f t="shared" si="65"/>
        <v>80649.623307745846</v>
      </c>
      <c r="L144" s="175">
        <f t="shared" si="65"/>
        <v>-82127.87784225418</v>
      </c>
      <c r="M144" s="175">
        <f t="shared" si="65"/>
        <v>38782.070872282027</v>
      </c>
      <c r="N144" s="175">
        <f t="shared" si="65"/>
        <v>116775.8924911042</v>
      </c>
      <c r="O144" s="175">
        <f t="shared" si="65"/>
        <v>46688.903841104242</v>
      </c>
      <c r="P144" s="175">
        <f t="shared" si="65"/>
        <v>-23200.933658895781</v>
      </c>
      <c r="Q144" s="174">
        <f t="shared" si="65"/>
        <v>1232478.0983410941</v>
      </c>
      <c r="R144" s="158">
        <f t="shared" si="65"/>
        <v>0</v>
      </c>
      <c r="S144" s="176">
        <f t="shared" si="65"/>
        <v>408755.752676812</v>
      </c>
      <c r="T144" s="158">
        <f t="shared" si="65"/>
        <v>0</v>
      </c>
      <c r="U144" s="175">
        <f t="shared" si="65"/>
        <v>408755.752676812</v>
      </c>
      <c r="V144" s="175">
        <f>V52+V142</f>
        <v>0</v>
      </c>
      <c r="W144" s="94"/>
      <c r="X144" s="175">
        <f>X52-X142</f>
        <v>211725.28509465884</v>
      </c>
      <c r="Y144" s="175">
        <f>Y52+Y142</f>
        <v>197030.46758215281</v>
      </c>
    </row>
    <row r="145" spans="1:25" s="94" customFormat="1" ht="12" customHeight="1" thickTop="1" x14ac:dyDescent="0.2"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46"/>
      <c r="R145" s="125"/>
      <c r="S145" s="203"/>
      <c r="T145" s="125"/>
      <c r="U145" s="125"/>
      <c r="V145" s="125"/>
      <c r="X145" s="125"/>
      <c r="Y145" s="125"/>
    </row>
    <row r="146" spans="1:25" s="94" customFormat="1" ht="12" customHeight="1" x14ac:dyDescent="0.2">
      <c r="A146" s="119" t="s">
        <v>180</v>
      </c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46"/>
      <c r="R146" s="125"/>
      <c r="S146" s="178"/>
      <c r="T146" s="125"/>
      <c r="U146" s="125"/>
      <c r="V146" s="125"/>
      <c r="X146" s="125"/>
      <c r="Y146" s="125"/>
    </row>
    <row r="147" spans="1:25" s="119" customFormat="1" ht="12" customHeight="1" x14ac:dyDescent="0.2">
      <c r="C147" s="94" t="s">
        <v>179</v>
      </c>
      <c r="D147" s="94"/>
      <c r="E147" s="125">
        <f t="shared" ref="E147:Q147" si="66">E144</f>
        <v>-112148.00899004772</v>
      </c>
      <c r="F147" s="125">
        <f t="shared" si="66"/>
        <v>-316247.89557815902</v>
      </c>
      <c r="G147" s="125">
        <f t="shared" si="66"/>
        <v>-276109.38989578665</v>
      </c>
      <c r="H147" s="125">
        <f t="shared" si="66"/>
        <v>-231188.75223486667</v>
      </c>
      <c r="I147" s="125">
        <f t="shared" si="66"/>
        <v>64183.522157745785</v>
      </c>
      <c r="J147" s="125">
        <f t="shared" si="66"/>
        <v>-129779.50013425417</v>
      </c>
      <c r="K147" s="125">
        <f t="shared" si="66"/>
        <v>80649.623307745846</v>
      </c>
      <c r="L147" s="125">
        <f t="shared" si="66"/>
        <v>-82127.87784225418</v>
      </c>
      <c r="M147" s="125">
        <f t="shared" si="66"/>
        <v>38782.070872282027</v>
      </c>
      <c r="N147" s="125">
        <f t="shared" si="66"/>
        <v>116775.8924911042</v>
      </c>
      <c r="O147" s="125">
        <f t="shared" si="66"/>
        <v>46688.903841104242</v>
      </c>
      <c r="P147" s="125">
        <f t="shared" si="66"/>
        <v>-23200.933658895781</v>
      </c>
      <c r="Q147" s="146">
        <f t="shared" si="66"/>
        <v>1232478.0983410941</v>
      </c>
      <c r="R147" s="125"/>
      <c r="S147" s="136">
        <f>SUM(E147:R147)</f>
        <v>408755.75267681188</v>
      </c>
      <c r="T147" s="158"/>
      <c r="U147" s="158"/>
      <c r="V147" s="158"/>
      <c r="W147" s="94"/>
      <c r="X147" s="158"/>
      <c r="Y147" s="158"/>
    </row>
    <row r="148" spans="1:25" s="94" customFormat="1" ht="12" customHeight="1" x14ac:dyDescent="0.2">
      <c r="B148" s="94" t="s">
        <v>70</v>
      </c>
      <c r="C148" s="94" t="s">
        <v>181</v>
      </c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46"/>
      <c r="R148" s="125"/>
      <c r="S148" s="136"/>
      <c r="T148" s="125"/>
      <c r="U148" s="158"/>
      <c r="V148" s="158"/>
      <c r="X148" s="158"/>
      <c r="Y148" s="158"/>
    </row>
    <row r="149" spans="1:25" s="94" customFormat="1" ht="12" customHeight="1" x14ac:dyDescent="0.2">
      <c r="B149" s="94" t="s">
        <v>70</v>
      </c>
      <c r="D149" s="179" t="s">
        <v>182</v>
      </c>
      <c r="E149" s="125">
        <f t="shared" ref="E149:Q149" si="67">+E136</f>
        <v>1500</v>
      </c>
      <c r="F149" s="125">
        <f t="shared" si="67"/>
        <v>1500</v>
      </c>
      <c r="G149" s="125">
        <f t="shared" si="67"/>
        <v>1500</v>
      </c>
      <c r="H149" s="125">
        <f t="shared" si="67"/>
        <v>1500</v>
      </c>
      <c r="I149" s="125">
        <f t="shared" si="67"/>
        <v>1500</v>
      </c>
      <c r="J149" s="125">
        <f t="shared" si="67"/>
        <v>1500</v>
      </c>
      <c r="K149" s="125">
        <f t="shared" si="67"/>
        <v>1500</v>
      </c>
      <c r="L149" s="125">
        <f t="shared" si="67"/>
        <v>1500</v>
      </c>
      <c r="M149" s="125">
        <f t="shared" si="67"/>
        <v>1500</v>
      </c>
      <c r="N149" s="125">
        <f t="shared" si="67"/>
        <v>1500</v>
      </c>
      <c r="O149" s="125">
        <f t="shared" si="67"/>
        <v>1500</v>
      </c>
      <c r="P149" s="125">
        <f t="shared" si="67"/>
        <v>1500</v>
      </c>
      <c r="Q149" s="146">
        <f t="shared" si="67"/>
        <v>0</v>
      </c>
      <c r="R149" s="125"/>
      <c r="S149" s="136">
        <f>SUM(E149:R149)</f>
        <v>18000</v>
      </c>
      <c r="T149" s="125"/>
      <c r="U149" s="51"/>
      <c r="V149" s="51"/>
      <c r="X149" s="51"/>
      <c r="Y149" s="51"/>
    </row>
    <row r="150" spans="1:25" s="94" customFormat="1" ht="12" customHeight="1" x14ac:dyDescent="0.2">
      <c r="B150" s="94" t="s">
        <v>70</v>
      </c>
      <c r="D150" s="179" t="s">
        <v>183</v>
      </c>
      <c r="E150" s="148">
        <v>263835.13677514478</v>
      </c>
      <c r="F150" s="148">
        <v>0</v>
      </c>
      <c r="G150" s="125">
        <v>475416</v>
      </c>
      <c r="H150" s="125">
        <v>0</v>
      </c>
      <c r="I150" s="125">
        <v>74244.640665000014</v>
      </c>
      <c r="J150" s="125">
        <v>13294.797100000003</v>
      </c>
      <c r="K150" s="125">
        <v>173992.90159199981</v>
      </c>
      <c r="L150" s="125">
        <v>0</v>
      </c>
      <c r="M150" s="125">
        <v>0</v>
      </c>
      <c r="N150" s="125">
        <v>0</v>
      </c>
      <c r="O150" s="125">
        <v>0</v>
      </c>
      <c r="P150" s="125">
        <v>0</v>
      </c>
      <c r="Q150" s="146">
        <f>-Q52</f>
        <v>-1241085.2785247266</v>
      </c>
      <c r="R150" s="125"/>
      <c r="S150" s="136">
        <f t="shared" ref="S150:S165" si="68">SUM(E150:R150)</f>
        <v>-240301.80239258194</v>
      </c>
      <c r="T150" s="125"/>
      <c r="U150" s="158"/>
      <c r="V150" s="158"/>
      <c r="X150" s="158"/>
      <c r="Y150" s="158"/>
    </row>
    <row r="151" spans="1:25" s="94" customFormat="1" ht="12" customHeight="1" x14ac:dyDescent="0.2">
      <c r="B151" s="94" t="s">
        <v>70</v>
      </c>
      <c r="D151" s="179" t="s">
        <v>184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5">
        <v>0</v>
      </c>
      <c r="M151" s="125">
        <v>0</v>
      </c>
      <c r="N151" s="125">
        <v>0</v>
      </c>
      <c r="O151" s="125">
        <v>0</v>
      </c>
      <c r="P151" s="125">
        <v>0</v>
      </c>
      <c r="Q151" s="146">
        <v>0</v>
      </c>
      <c r="R151" s="125"/>
      <c r="S151" s="136">
        <f t="shared" si="68"/>
        <v>0</v>
      </c>
      <c r="T151" s="125"/>
      <c r="U151" s="158"/>
      <c r="V151" s="158"/>
      <c r="X151" s="158"/>
      <c r="Y151" s="158"/>
    </row>
    <row r="152" spans="1:25" s="94" customFormat="1" ht="12" customHeight="1" x14ac:dyDescent="0.2">
      <c r="B152" s="94" t="s">
        <v>70</v>
      </c>
      <c r="D152" s="179" t="s">
        <v>185</v>
      </c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  <c r="J152" s="125">
        <v>0</v>
      </c>
      <c r="K152" s="125">
        <v>0</v>
      </c>
      <c r="L152" s="125">
        <v>0</v>
      </c>
      <c r="M152" s="125">
        <v>0</v>
      </c>
      <c r="N152" s="125">
        <v>0</v>
      </c>
      <c r="O152" s="125">
        <v>0</v>
      </c>
      <c r="P152" s="125">
        <v>0</v>
      </c>
      <c r="Q152" s="146">
        <v>0</v>
      </c>
      <c r="R152" s="125"/>
      <c r="S152" s="136">
        <f t="shared" si="68"/>
        <v>0</v>
      </c>
      <c r="T152" s="125"/>
      <c r="U152" s="158"/>
      <c r="V152" s="158"/>
      <c r="X152" s="158"/>
      <c r="Y152" s="158"/>
    </row>
    <row r="153" spans="1:25" s="94" customFormat="1" ht="12" customHeight="1" x14ac:dyDescent="0.2">
      <c r="B153" s="94" t="s">
        <v>70</v>
      </c>
      <c r="D153" s="179" t="s">
        <v>186</v>
      </c>
      <c r="E153" s="125">
        <v>0</v>
      </c>
      <c r="F153" s="125">
        <v>0</v>
      </c>
      <c r="G153" s="125">
        <v>0</v>
      </c>
      <c r="H153" s="125">
        <v>0</v>
      </c>
      <c r="I153" s="125">
        <v>0</v>
      </c>
      <c r="J153" s="125">
        <v>0</v>
      </c>
      <c r="K153" s="125">
        <v>0</v>
      </c>
      <c r="L153" s="125">
        <v>0</v>
      </c>
      <c r="M153" s="125">
        <v>0</v>
      </c>
      <c r="N153" s="125">
        <v>0</v>
      </c>
      <c r="O153" s="125">
        <v>0</v>
      </c>
      <c r="P153" s="125">
        <v>0</v>
      </c>
      <c r="Q153" s="146">
        <v>0</v>
      </c>
      <c r="R153" s="125"/>
      <c r="S153" s="136">
        <f t="shared" si="68"/>
        <v>0</v>
      </c>
      <c r="T153" s="125"/>
      <c r="U153" s="158"/>
      <c r="V153" s="158"/>
      <c r="X153" s="158"/>
      <c r="Y153" s="158"/>
    </row>
    <row r="154" spans="1:25" s="94" customFormat="1" ht="12" customHeight="1" x14ac:dyDescent="0.2">
      <c r="B154" s="94" t="s">
        <v>70</v>
      </c>
      <c r="D154" s="179" t="s">
        <v>187</v>
      </c>
      <c r="E154" s="125">
        <v>0</v>
      </c>
      <c r="F154" s="125">
        <v>0</v>
      </c>
      <c r="G154" s="125">
        <v>0</v>
      </c>
      <c r="H154" s="125">
        <v>0</v>
      </c>
      <c r="I154" s="125">
        <v>0</v>
      </c>
      <c r="J154" s="125">
        <v>0</v>
      </c>
      <c r="K154" s="125">
        <v>0</v>
      </c>
      <c r="L154" s="125">
        <v>0</v>
      </c>
      <c r="M154" s="125">
        <v>0</v>
      </c>
      <c r="N154" s="125">
        <v>0</v>
      </c>
      <c r="O154" s="125">
        <v>0</v>
      </c>
      <c r="P154" s="125">
        <v>0</v>
      </c>
      <c r="Q154" s="146">
        <v>0</v>
      </c>
      <c r="R154" s="125"/>
      <c r="S154" s="136">
        <f t="shared" si="68"/>
        <v>0</v>
      </c>
      <c r="T154" s="125"/>
      <c r="U154" s="158"/>
      <c r="V154" s="158"/>
      <c r="X154" s="158"/>
      <c r="Y154" s="158"/>
    </row>
    <row r="155" spans="1:25" s="94" customFormat="1" ht="12" customHeight="1" x14ac:dyDescent="0.2">
      <c r="B155" s="94" t="s">
        <v>70</v>
      </c>
      <c r="D155" s="179" t="s">
        <v>188</v>
      </c>
      <c r="E155" s="125">
        <v>-349552.674763555</v>
      </c>
      <c r="F155" s="125">
        <v>0</v>
      </c>
      <c r="G155" s="125">
        <v>0</v>
      </c>
      <c r="H155" s="125">
        <v>0</v>
      </c>
      <c r="I155" s="125">
        <v>0</v>
      </c>
      <c r="J155" s="125">
        <v>0</v>
      </c>
      <c r="K155" s="125">
        <v>0</v>
      </c>
      <c r="L155" s="125">
        <v>0</v>
      </c>
      <c r="M155" s="125">
        <v>0</v>
      </c>
      <c r="N155" s="125">
        <v>0</v>
      </c>
      <c r="O155" s="125">
        <v>0</v>
      </c>
      <c r="P155" s="125">
        <v>0</v>
      </c>
      <c r="Q155" s="146">
        <f>Q142</f>
        <v>8607.1801836325176</v>
      </c>
      <c r="R155" s="125"/>
      <c r="S155" s="136">
        <f t="shared" si="68"/>
        <v>-340945.49457992247</v>
      </c>
      <c r="T155" s="125"/>
      <c r="U155" s="158"/>
      <c r="V155" s="158"/>
      <c r="X155" s="158"/>
      <c r="Y155" s="158"/>
    </row>
    <row r="156" spans="1:25" s="94" customFormat="1" ht="12" customHeight="1" x14ac:dyDescent="0.2">
      <c r="B156" s="94" t="s">
        <v>70</v>
      </c>
      <c r="D156" s="179" t="s">
        <v>189</v>
      </c>
      <c r="E156" s="125">
        <v>0</v>
      </c>
      <c r="F156" s="125">
        <v>0</v>
      </c>
      <c r="G156" s="125">
        <v>0</v>
      </c>
      <c r="H156" s="125">
        <v>0</v>
      </c>
      <c r="I156" s="125">
        <v>0</v>
      </c>
      <c r="J156" s="125">
        <v>0</v>
      </c>
      <c r="K156" s="125">
        <v>0</v>
      </c>
      <c r="L156" s="125">
        <v>0</v>
      </c>
      <c r="M156" s="125">
        <v>0</v>
      </c>
      <c r="N156" s="125">
        <v>0</v>
      </c>
      <c r="O156" s="125">
        <v>0</v>
      </c>
      <c r="P156" s="125">
        <v>0</v>
      </c>
      <c r="Q156" s="146">
        <v>0</v>
      </c>
      <c r="R156" s="125"/>
      <c r="S156" s="136">
        <f t="shared" si="68"/>
        <v>0</v>
      </c>
      <c r="T156" s="125"/>
      <c r="U156" s="158"/>
      <c r="V156" s="158"/>
      <c r="X156" s="158"/>
      <c r="Y156" s="158"/>
    </row>
    <row r="157" spans="1:25" s="94" customFormat="1" ht="12" customHeight="1" x14ac:dyDescent="0.2">
      <c r="D157" s="179" t="s">
        <v>207</v>
      </c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  <c r="J157" s="125">
        <v>0</v>
      </c>
      <c r="K157" s="125">
        <v>0</v>
      </c>
      <c r="L157" s="125">
        <v>0</v>
      </c>
      <c r="M157" s="125">
        <v>0</v>
      </c>
      <c r="N157" s="125">
        <v>0</v>
      </c>
      <c r="O157" s="125">
        <v>0</v>
      </c>
      <c r="P157" s="125">
        <v>0</v>
      </c>
      <c r="Q157" s="146">
        <v>0</v>
      </c>
      <c r="R157" s="125"/>
      <c r="S157" s="136">
        <f t="shared" si="68"/>
        <v>0</v>
      </c>
      <c r="T157" s="125"/>
      <c r="U157" s="158"/>
      <c r="V157" s="158"/>
      <c r="X157" s="158"/>
      <c r="Y157" s="158"/>
    </row>
    <row r="158" spans="1:25" s="94" customFormat="1" ht="12" customHeight="1" x14ac:dyDescent="0.2">
      <c r="B158" s="94" t="s">
        <v>70</v>
      </c>
      <c r="D158" s="179" t="s">
        <v>191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  <c r="J158" s="125">
        <v>0</v>
      </c>
      <c r="K158" s="125">
        <v>0</v>
      </c>
      <c r="L158" s="125">
        <v>0</v>
      </c>
      <c r="M158" s="125">
        <v>0</v>
      </c>
      <c r="N158" s="125">
        <v>0</v>
      </c>
      <c r="O158" s="125">
        <v>0</v>
      </c>
      <c r="P158" s="125">
        <v>0</v>
      </c>
      <c r="Q158" s="146">
        <v>0</v>
      </c>
      <c r="R158" s="125"/>
      <c r="S158" s="136">
        <f t="shared" si="68"/>
        <v>0</v>
      </c>
      <c r="T158" s="125"/>
      <c r="U158" s="158"/>
      <c r="V158" s="158"/>
      <c r="X158" s="158"/>
      <c r="Y158" s="158"/>
    </row>
    <row r="159" spans="1:25" s="94" customFormat="1" ht="10.9" customHeight="1" x14ac:dyDescent="0.2">
      <c r="B159" s="94" t="s">
        <v>70</v>
      </c>
      <c r="C159" s="94" t="s">
        <v>192</v>
      </c>
      <c r="D159" s="179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46"/>
      <c r="R159" s="125"/>
      <c r="S159" s="136"/>
      <c r="T159" s="125"/>
      <c r="U159" s="158"/>
      <c r="V159" s="158"/>
      <c r="X159" s="158"/>
      <c r="Y159" s="158"/>
    </row>
    <row r="160" spans="1:25" s="94" customFormat="1" ht="10.9" customHeight="1" x14ac:dyDescent="0.2">
      <c r="B160" s="94" t="s">
        <v>70</v>
      </c>
      <c r="D160" s="179" t="s">
        <v>193</v>
      </c>
      <c r="E160" s="125">
        <v>0</v>
      </c>
      <c r="F160" s="125">
        <v>0</v>
      </c>
      <c r="G160" s="125">
        <v>0</v>
      </c>
      <c r="H160" s="125">
        <v>0</v>
      </c>
      <c r="I160" s="125">
        <v>0</v>
      </c>
      <c r="J160" s="125">
        <v>0</v>
      </c>
      <c r="K160" s="125">
        <v>0</v>
      </c>
      <c r="L160" s="125">
        <v>0</v>
      </c>
      <c r="M160" s="125">
        <v>0</v>
      </c>
      <c r="N160" s="125">
        <v>0</v>
      </c>
      <c r="O160" s="125">
        <v>0</v>
      </c>
      <c r="P160" s="125">
        <v>0</v>
      </c>
      <c r="Q160" s="146">
        <v>0</v>
      </c>
      <c r="R160" s="125"/>
      <c r="S160" s="136">
        <f t="shared" si="68"/>
        <v>0</v>
      </c>
      <c r="T160" s="125"/>
      <c r="U160" s="158"/>
      <c r="V160" s="158"/>
      <c r="X160" s="158"/>
      <c r="Y160" s="158"/>
    </row>
    <row r="161" spans="1:25" s="94" customFormat="1" ht="12" customHeight="1" x14ac:dyDescent="0.2">
      <c r="D161" s="94" t="s">
        <v>194</v>
      </c>
      <c r="E161" s="125">
        <v>0</v>
      </c>
      <c r="F161" s="125">
        <v>0</v>
      </c>
      <c r="G161" s="125">
        <v>0</v>
      </c>
      <c r="H161" s="125">
        <v>0</v>
      </c>
      <c r="I161" s="125">
        <v>0</v>
      </c>
      <c r="J161" s="125">
        <v>0</v>
      </c>
      <c r="K161" s="125">
        <v>0</v>
      </c>
      <c r="L161" s="125">
        <v>0</v>
      </c>
      <c r="M161" s="125">
        <v>0</v>
      </c>
      <c r="N161" s="125">
        <v>0</v>
      </c>
      <c r="O161" s="125">
        <v>0</v>
      </c>
      <c r="P161" s="125">
        <v>0</v>
      </c>
      <c r="Q161" s="146">
        <v>0</v>
      </c>
      <c r="R161" s="125"/>
      <c r="S161" s="136">
        <f t="shared" si="68"/>
        <v>0</v>
      </c>
      <c r="T161" s="125"/>
      <c r="U161" s="158"/>
      <c r="V161" s="158"/>
      <c r="X161" s="158"/>
      <c r="Y161" s="158"/>
    </row>
    <row r="162" spans="1:25" s="94" customFormat="1" ht="12" customHeight="1" x14ac:dyDescent="0.2">
      <c r="C162" s="94" t="s">
        <v>195</v>
      </c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46"/>
      <c r="R162" s="125"/>
      <c r="S162" s="136"/>
      <c r="T162" s="125"/>
      <c r="U162" s="158"/>
      <c r="V162" s="158"/>
      <c r="X162" s="158"/>
      <c r="Y162" s="158"/>
    </row>
    <row r="163" spans="1:25" s="94" customFormat="1" ht="12" customHeight="1" x14ac:dyDescent="0.2">
      <c r="D163" s="94" t="s">
        <v>196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  <c r="J163" s="125">
        <v>0</v>
      </c>
      <c r="K163" s="125">
        <v>0</v>
      </c>
      <c r="L163" s="125">
        <v>0</v>
      </c>
      <c r="M163" s="125">
        <v>0</v>
      </c>
      <c r="N163" s="125">
        <v>0</v>
      </c>
      <c r="O163" s="125">
        <v>0</v>
      </c>
      <c r="P163" s="125">
        <v>0</v>
      </c>
      <c r="Q163" s="146">
        <v>0</v>
      </c>
      <c r="R163" s="125"/>
      <c r="S163" s="136">
        <f t="shared" si="68"/>
        <v>0</v>
      </c>
      <c r="T163" s="125"/>
      <c r="U163" s="158"/>
      <c r="V163" s="158"/>
      <c r="X163" s="158"/>
      <c r="Y163" s="158"/>
    </row>
    <row r="164" spans="1:25" s="94" customFormat="1" ht="12" customHeight="1" x14ac:dyDescent="0.2">
      <c r="D164" s="94" t="s">
        <v>197</v>
      </c>
      <c r="E164" s="125">
        <v>0</v>
      </c>
      <c r="F164" s="125">
        <v>0</v>
      </c>
      <c r="G164" s="125">
        <v>0</v>
      </c>
      <c r="H164" s="125">
        <v>0</v>
      </c>
      <c r="I164" s="125">
        <v>0</v>
      </c>
      <c r="J164" s="125">
        <v>0</v>
      </c>
      <c r="K164" s="125">
        <f>-H163-I163</f>
        <v>0</v>
      </c>
      <c r="L164" s="125">
        <v>0</v>
      </c>
      <c r="M164" s="125">
        <f>-J163/2</f>
        <v>0</v>
      </c>
      <c r="N164" s="125">
        <f>M164</f>
        <v>0</v>
      </c>
      <c r="O164" s="125">
        <f>-L163</f>
        <v>0</v>
      </c>
      <c r="P164" s="125">
        <f>-M163</f>
        <v>0</v>
      </c>
      <c r="Q164" s="146">
        <v>0</v>
      </c>
      <c r="R164" s="125"/>
      <c r="S164" s="136">
        <f t="shared" si="68"/>
        <v>0</v>
      </c>
      <c r="T164" s="125"/>
      <c r="U164" s="158"/>
      <c r="V164" s="158"/>
      <c r="X164" s="158"/>
      <c r="Y164" s="158"/>
    </row>
    <row r="165" spans="1:25" s="94" customFormat="1" ht="12" customHeight="1" x14ac:dyDescent="0.2">
      <c r="D165" s="94" t="s">
        <v>198</v>
      </c>
      <c r="E165" s="182">
        <v>0</v>
      </c>
      <c r="F165" s="182">
        <v>0</v>
      </c>
      <c r="G165" s="182">
        <v>0</v>
      </c>
      <c r="H165" s="182">
        <v>0</v>
      </c>
      <c r="I165" s="182">
        <v>0</v>
      </c>
      <c r="J165" s="182">
        <v>0</v>
      </c>
      <c r="K165" s="182">
        <v>0</v>
      </c>
      <c r="L165" s="182">
        <v>0</v>
      </c>
      <c r="M165" s="182">
        <v>0</v>
      </c>
      <c r="N165" s="182">
        <v>0</v>
      </c>
      <c r="O165" s="182">
        <v>0</v>
      </c>
      <c r="P165" s="182">
        <v>0</v>
      </c>
      <c r="Q165" s="146">
        <v>0</v>
      </c>
      <c r="R165" s="125"/>
      <c r="S165" s="136">
        <f t="shared" si="68"/>
        <v>0</v>
      </c>
      <c r="T165" s="125"/>
      <c r="U165" s="158"/>
      <c r="V165" s="158"/>
      <c r="X165" s="158"/>
      <c r="Y165" s="158"/>
    </row>
    <row r="166" spans="1:25" s="94" customFormat="1" ht="12" customHeight="1" x14ac:dyDescent="0.2"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83"/>
      <c r="T166" s="125"/>
      <c r="U166" s="158"/>
      <c r="V166" s="158"/>
      <c r="X166" s="158"/>
      <c r="Y166" s="158"/>
    </row>
    <row r="167" spans="1:25" s="94" customFormat="1" ht="12" customHeight="1" x14ac:dyDescent="0.2">
      <c r="B167" s="94" t="s">
        <v>199</v>
      </c>
      <c r="E167" s="125">
        <f>SUBTOTAL(9,E147:E166)</f>
        <v>-196365.54697845795</v>
      </c>
      <c r="F167" s="125">
        <f t="shared" ref="F167:P167" si="69">SUBTOTAL(9,F147:F166)</f>
        <v>-314747.89557815902</v>
      </c>
      <c r="G167" s="125">
        <f t="shared" si="69"/>
        <v>200806.61010421335</v>
      </c>
      <c r="H167" s="125">
        <f t="shared" si="69"/>
        <v>-229688.75223486667</v>
      </c>
      <c r="I167" s="125">
        <f t="shared" si="69"/>
        <v>139928.1628227458</v>
      </c>
      <c r="J167" s="125">
        <f t="shared" si="69"/>
        <v>-114984.70303425417</v>
      </c>
      <c r="K167" s="125">
        <f t="shared" si="69"/>
        <v>256142.52489974565</v>
      </c>
      <c r="L167" s="125">
        <f t="shared" si="69"/>
        <v>-80627.87784225418</v>
      </c>
      <c r="M167" s="125">
        <f t="shared" si="69"/>
        <v>40282.070872282027</v>
      </c>
      <c r="N167" s="125">
        <f t="shared" si="69"/>
        <v>118275.8924911042</v>
      </c>
      <c r="O167" s="125">
        <f t="shared" si="69"/>
        <v>48188.903841104242</v>
      </c>
      <c r="P167" s="125">
        <f t="shared" si="69"/>
        <v>-21700.933658895781</v>
      </c>
      <c r="Q167" s="125"/>
      <c r="R167" s="125"/>
      <c r="S167" s="125"/>
      <c r="T167" s="125"/>
      <c r="U167" s="125"/>
      <c r="V167" s="125"/>
      <c r="X167" s="125"/>
      <c r="Y167" s="125"/>
    </row>
    <row r="168" spans="1:25" s="94" customFormat="1" ht="12" customHeight="1" x14ac:dyDescent="0.2"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X168" s="125"/>
      <c r="Y168" s="125"/>
    </row>
    <row r="169" spans="1:25" s="94" customFormat="1" ht="12" customHeight="1" x14ac:dyDescent="0.2">
      <c r="B169" s="94" t="s">
        <v>200</v>
      </c>
      <c r="E169" s="182">
        <v>1286513.7537260691</v>
      </c>
      <c r="F169" s="182">
        <f t="shared" ref="F169:O169" si="70">E171</f>
        <v>1090148.2067476111</v>
      </c>
      <c r="G169" s="182">
        <f t="shared" si="70"/>
        <v>775400.31116945203</v>
      </c>
      <c r="H169" s="182">
        <f t="shared" si="70"/>
        <v>976206.92127366539</v>
      </c>
      <c r="I169" s="182">
        <f t="shared" si="70"/>
        <v>746518.16903879866</v>
      </c>
      <c r="J169" s="182">
        <f t="shared" si="70"/>
        <v>886446.3318615444</v>
      </c>
      <c r="K169" s="182">
        <f t="shared" si="70"/>
        <v>771461.62882729026</v>
      </c>
      <c r="L169" s="182">
        <f t="shared" si="70"/>
        <v>1027604.153727036</v>
      </c>
      <c r="M169" s="182">
        <f t="shared" si="70"/>
        <v>946976.27588478173</v>
      </c>
      <c r="N169" s="182">
        <f t="shared" si="70"/>
        <v>987258.34675706376</v>
      </c>
      <c r="O169" s="182">
        <f t="shared" si="70"/>
        <v>1105534.239248168</v>
      </c>
      <c r="P169" s="182">
        <f>O171</f>
        <v>1153723.1430892721</v>
      </c>
      <c r="Q169" s="125"/>
      <c r="R169" s="125"/>
      <c r="S169" s="125"/>
      <c r="T169" s="125"/>
      <c r="U169" s="125"/>
      <c r="V169" s="125"/>
      <c r="X169" s="125"/>
      <c r="Y169" s="125"/>
    </row>
    <row r="170" spans="1:25" s="94" customFormat="1" ht="12" customHeight="1" x14ac:dyDescent="0.2"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X170" s="125"/>
      <c r="Y170" s="125"/>
    </row>
    <row r="171" spans="1:25" s="119" customFormat="1" ht="12" customHeight="1" thickBot="1" x14ac:dyDescent="0.25">
      <c r="B171" s="119" t="s">
        <v>201</v>
      </c>
      <c r="E171" s="175">
        <f t="shared" ref="E171:O171" si="71">E167+E169</f>
        <v>1090148.2067476111</v>
      </c>
      <c r="F171" s="175">
        <f t="shared" si="71"/>
        <v>775400.31116945203</v>
      </c>
      <c r="G171" s="175">
        <f t="shared" si="71"/>
        <v>976206.92127366539</v>
      </c>
      <c r="H171" s="175">
        <f t="shared" si="71"/>
        <v>746518.16903879866</v>
      </c>
      <c r="I171" s="175">
        <f t="shared" si="71"/>
        <v>886446.3318615444</v>
      </c>
      <c r="J171" s="175">
        <f t="shared" si="71"/>
        <v>771461.62882729026</v>
      </c>
      <c r="K171" s="175">
        <f t="shared" si="71"/>
        <v>1027604.153727036</v>
      </c>
      <c r="L171" s="175">
        <f t="shared" si="71"/>
        <v>946976.27588478173</v>
      </c>
      <c r="M171" s="175">
        <f t="shared" si="71"/>
        <v>987258.34675706376</v>
      </c>
      <c r="N171" s="175">
        <f t="shared" si="71"/>
        <v>1105534.239248168</v>
      </c>
      <c r="O171" s="175">
        <f t="shared" si="71"/>
        <v>1153723.1430892721</v>
      </c>
      <c r="P171" s="175">
        <f>P167+P169</f>
        <v>1132022.2094303763</v>
      </c>
      <c r="Q171" s="158"/>
      <c r="R171" s="158"/>
      <c r="S171" s="158"/>
      <c r="T171" s="158"/>
      <c r="U171" s="158"/>
      <c r="V171" s="158"/>
      <c r="X171" s="158"/>
      <c r="Y171" s="158"/>
    </row>
    <row r="172" spans="1:25" s="185" customFormat="1" ht="12" customHeight="1" thickTop="1" x14ac:dyDescent="0.2">
      <c r="A172" s="184"/>
      <c r="B172" s="184"/>
      <c r="D172" s="186">
        <v>0.15</v>
      </c>
      <c r="E172" s="187">
        <f t="shared" ref="E172:P172" si="72">$S$142*$D$172</f>
        <v>720029.61436052818</v>
      </c>
      <c r="F172" s="187">
        <f t="shared" si="72"/>
        <v>720029.61436052818</v>
      </c>
      <c r="G172" s="187">
        <f t="shared" si="72"/>
        <v>720029.61436052818</v>
      </c>
      <c r="H172" s="187">
        <f t="shared" si="72"/>
        <v>720029.61436052818</v>
      </c>
      <c r="I172" s="187">
        <f t="shared" si="72"/>
        <v>720029.61436052818</v>
      </c>
      <c r="J172" s="187">
        <f t="shared" si="72"/>
        <v>720029.61436052818</v>
      </c>
      <c r="K172" s="187">
        <f t="shared" si="72"/>
        <v>720029.61436052818</v>
      </c>
      <c r="L172" s="187">
        <f t="shared" si="72"/>
        <v>720029.61436052818</v>
      </c>
      <c r="M172" s="187">
        <f t="shared" si="72"/>
        <v>720029.61436052818</v>
      </c>
      <c r="N172" s="187">
        <f t="shared" si="72"/>
        <v>720029.61436052818</v>
      </c>
      <c r="O172" s="187">
        <f t="shared" si="72"/>
        <v>720029.61436052818</v>
      </c>
      <c r="P172" s="187">
        <f t="shared" si="72"/>
        <v>720029.61436052818</v>
      </c>
      <c r="Q172" s="187"/>
      <c r="R172" s="187"/>
      <c r="S172" s="188"/>
      <c r="T172" s="187"/>
      <c r="U172" s="187"/>
      <c r="V172" s="187"/>
      <c r="X172" s="187"/>
      <c r="Y172" s="187"/>
    </row>
    <row r="173" spans="1:25" s="94" customFormat="1" ht="12" customHeight="1" x14ac:dyDescent="0.2">
      <c r="A173" s="119"/>
      <c r="B173" s="119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83"/>
      <c r="T173" s="125"/>
      <c r="U173" s="125"/>
      <c r="V173" s="125"/>
      <c r="X173" s="125"/>
      <c r="Y173" s="125"/>
    </row>
    <row r="174" spans="1:25" s="94" customFormat="1" ht="12" customHeight="1" x14ac:dyDescent="0.2">
      <c r="A174" s="119"/>
      <c r="B174" s="119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83"/>
      <c r="T174" s="125"/>
      <c r="U174" s="125"/>
      <c r="V174" s="125"/>
      <c r="X174" s="125"/>
      <c r="Y174" s="125"/>
    </row>
    <row r="175" spans="1:25" s="94" customFormat="1" ht="12" customHeight="1" x14ac:dyDescent="0.2">
      <c r="A175" s="119"/>
      <c r="B175" s="119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83"/>
      <c r="T175" s="125"/>
      <c r="U175" s="125"/>
      <c r="V175" s="125"/>
      <c r="X175" s="125"/>
      <c r="Y175" s="125"/>
    </row>
    <row r="176" spans="1:25" s="94" customFormat="1" ht="12" customHeight="1" x14ac:dyDescent="0.2">
      <c r="E176" s="189"/>
      <c r="F176" s="189"/>
      <c r="G176" s="189"/>
      <c r="H176" s="189"/>
      <c r="I176" s="189"/>
      <c r="J176" s="189"/>
      <c r="K176" s="189"/>
      <c r="L176" s="189"/>
      <c r="M176" s="190"/>
      <c r="N176" s="190"/>
      <c r="O176" s="190"/>
      <c r="P176" s="190"/>
      <c r="Q176" s="190"/>
      <c r="R176" s="190"/>
      <c r="S176" s="191"/>
      <c r="T176" s="190"/>
      <c r="U176" s="125"/>
      <c r="V176" s="125"/>
      <c r="X176" s="125"/>
      <c r="Y176" s="125"/>
    </row>
    <row r="177" spans="1:25" s="94" customFormat="1" ht="12" customHeight="1" x14ac:dyDescent="0.2">
      <c r="E177" s="189"/>
      <c r="F177" s="189"/>
      <c r="G177" s="189"/>
      <c r="H177" s="189"/>
      <c r="I177" s="189"/>
      <c r="J177" s="189"/>
      <c r="K177" s="189"/>
      <c r="L177" s="189"/>
      <c r="M177" s="190"/>
      <c r="N177" s="190"/>
      <c r="O177" s="190"/>
      <c r="P177" s="190"/>
      <c r="Q177" s="190"/>
      <c r="R177" s="190"/>
      <c r="S177" s="191"/>
      <c r="T177" s="190"/>
      <c r="U177" s="125"/>
      <c r="V177" s="125"/>
      <c r="X177" s="125"/>
      <c r="Y177" s="125"/>
    </row>
    <row r="178" spans="1:25" s="94" customFormat="1" ht="12" customHeight="1" x14ac:dyDescent="0.2"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1"/>
      <c r="T178" s="190"/>
      <c r="U178" s="125"/>
      <c r="V178" s="125"/>
      <c r="X178" s="125"/>
      <c r="Y178" s="125"/>
    </row>
    <row r="179" spans="1:25" s="94" customFormat="1" ht="12" customHeight="1" x14ac:dyDescent="0.2">
      <c r="E179" s="189"/>
      <c r="F179" s="189"/>
      <c r="G179" s="189"/>
      <c r="H179" s="189"/>
      <c r="I179" s="189"/>
      <c r="J179" s="189"/>
      <c r="K179" s="189"/>
      <c r="L179" s="189"/>
      <c r="M179" s="190"/>
      <c r="N179" s="190"/>
      <c r="O179" s="190"/>
      <c r="P179" s="190"/>
      <c r="Q179" s="190"/>
      <c r="R179" s="190"/>
      <c r="S179" s="191"/>
      <c r="T179" s="190"/>
      <c r="U179" s="125"/>
      <c r="V179" s="125"/>
      <c r="X179" s="125"/>
      <c r="Y179" s="125"/>
    </row>
    <row r="180" spans="1:25" s="94" customFormat="1" ht="12" customHeight="1" x14ac:dyDescent="0.2">
      <c r="E180" s="189"/>
      <c r="F180" s="189"/>
      <c r="G180" s="189"/>
      <c r="H180" s="189"/>
      <c r="I180" s="189"/>
      <c r="J180" s="189"/>
      <c r="K180" s="189"/>
      <c r="L180" s="189"/>
      <c r="M180" s="190"/>
      <c r="N180" s="190"/>
      <c r="O180" s="190"/>
      <c r="P180" s="190"/>
      <c r="Q180" s="190"/>
      <c r="R180" s="190"/>
      <c r="S180" s="191"/>
      <c r="T180" s="190"/>
      <c r="U180" s="125"/>
      <c r="V180" s="125"/>
      <c r="X180" s="125"/>
      <c r="Y180" s="125"/>
    </row>
    <row r="181" spans="1:25" s="94" customFormat="1" ht="12" customHeight="1" x14ac:dyDescent="0.2"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1"/>
      <c r="T181" s="190"/>
      <c r="U181" s="125"/>
      <c r="V181" s="125"/>
      <c r="X181" s="125"/>
      <c r="Y181" s="125"/>
    </row>
    <row r="182" spans="1:25" s="94" customFormat="1" x14ac:dyDescent="0.2"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1"/>
      <c r="T182" s="190"/>
      <c r="U182" s="125"/>
      <c r="V182" s="125"/>
      <c r="X182" s="125"/>
      <c r="Y182" s="125"/>
    </row>
    <row r="183" spans="1:25" s="94" customFormat="1" x14ac:dyDescent="0.2"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92"/>
      <c r="T183" s="125"/>
      <c r="U183" s="125"/>
      <c r="V183" s="125"/>
      <c r="X183" s="125"/>
      <c r="Y183" s="125"/>
    </row>
    <row r="184" spans="1:25" x14ac:dyDescent="0.15">
      <c r="A184" s="40"/>
      <c r="B184" s="40"/>
      <c r="S184" s="193"/>
      <c r="U184" s="125"/>
      <c r="V184" s="125"/>
      <c r="X184" s="125"/>
      <c r="Y184" s="125"/>
    </row>
    <row r="185" spans="1:25" x14ac:dyDescent="0.15">
      <c r="A185" s="40"/>
      <c r="B185" s="40"/>
      <c r="S185" s="193"/>
      <c r="U185" s="125"/>
      <c r="V185" s="125"/>
      <c r="X185" s="125"/>
      <c r="Y185" s="125"/>
    </row>
    <row r="186" spans="1:25" x14ac:dyDescent="0.15">
      <c r="A186" s="40"/>
      <c r="B186" s="40"/>
      <c r="S186" s="193"/>
      <c r="U186" s="125"/>
      <c r="V186" s="125"/>
      <c r="X186" s="125"/>
      <c r="Y186" s="125"/>
    </row>
    <row r="187" spans="1:25" x14ac:dyDescent="0.15">
      <c r="A187" s="40"/>
      <c r="B187" s="40"/>
      <c r="S187" s="193"/>
    </row>
    <row r="188" spans="1:25" x14ac:dyDescent="0.15">
      <c r="A188" s="40"/>
      <c r="B188" s="40"/>
      <c r="S188" s="193"/>
    </row>
    <row r="189" spans="1:25" x14ac:dyDescent="0.15">
      <c r="A189" s="40"/>
      <c r="B189" s="40"/>
      <c r="S189" s="193"/>
    </row>
  </sheetData>
  <printOptions horizontalCentered="1"/>
  <pageMargins left="0.15" right="0.15" top="0.35" bottom="0.35" header="0.3" footer="0.3"/>
  <pageSetup scale="75" fitToWidth="2" fitToHeight="4" orientation="landscape" copies="4" r:id="rId1"/>
  <headerFooter alignWithMargins="0">
    <oddFooter xml:space="preserve">&amp;R
</oddFooter>
  </headerFooter>
  <rowBreaks count="2" manualBreakCount="2">
    <brk id="90" max="21" man="1"/>
    <brk id="144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zoomScale="70" zoomScaleNormal="70" workbookViewId="0">
      <selection activeCell="O6" sqref="O6"/>
    </sheetView>
  </sheetViews>
  <sheetFormatPr defaultColWidth="11.21875" defaultRowHeight="15" x14ac:dyDescent="0.2"/>
  <cols>
    <col min="3" max="3" width="22.1953125" customWidth="1"/>
    <col min="5" max="5" width="14.796875" customWidth="1"/>
    <col min="6" max="6" width="16.02734375" customWidth="1"/>
    <col min="7" max="7" width="16.5234375" customWidth="1"/>
    <col min="8" max="8" width="16.02734375" customWidth="1"/>
    <col min="10" max="10" width="15.53515625" customWidth="1"/>
    <col min="11" max="11" width="13.19140625" style="19" bestFit="1" customWidth="1"/>
    <col min="12" max="12" width="14.0546875" style="21" bestFit="1" customWidth="1"/>
    <col min="13" max="13" width="15.78125" style="21" bestFit="1" customWidth="1"/>
    <col min="15" max="15" width="26.015625" style="195" customWidth="1"/>
  </cols>
  <sheetData>
    <row r="2" spans="1:15" ht="21" thickBot="1" x14ac:dyDescent="0.25">
      <c r="A2" s="2" t="s">
        <v>0</v>
      </c>
    </row>
    <row r="3" spans="1:15" s="28" customFormat="1" ht="18" thickBot="1" x14ac:dyDescent="0.25">
      <c r="A3" s="250" t="s">
        <v>1</v>
      </c>
      <c r="B3" s="251"/>
      <c r="C3" s="250" t="s">
        <v>2</v>
      </c>
      <c r="D3" s="251"/>
      <c r="E3" s="250" t="s">
        <v>3</v>
      </c>
      <c r="F3" s="251"/>
      <c r="G3" s="250" t="s">
        <v>4</v>
      </c>
      <c r="H3" s="251"/>
      <c r="I3" s="250" t="s">
        <v>5</v>
      </c>
      <c r="J3" s="251"/>
      <c r="K3" s="26"/>
      <c r="L3" s="27">
        <f>SUM(L8:L20)</f>
        <v>2150973</v>
      </c>
      <c r="M3" s="27">
        <f>SUM(M8:M20)</f>
        <v>1362729</v>
      </c>
      <c r="O3" s="196"/>
    </row>
    <row r="4" spans="1:15" ht="18" thickBot="1" x14ac:dyDescent="0.25">
      <c r="A4" s="232">
        <v>3110174</v>
      </c>
      <c r="B4" s="234"/>
      <c r="C4" s="232">
        <v>990750</v>
      </c>
      <c r="D4" s="234"/>
      <c r="E4" s="256"/>
      <c r="F4" s="253"/>
      <c r="G4" s="232">
        <v>1325735</v>
      </c>
      <c r="H4" s="234"/>
      <c r="I4" s="235">
        <f>SUM(A4:H4)</f>
        <v>5426659</v>
      </c>
      <c r="J4" s="237"/>
    </row>
    <row r="5" spans="1:15" ht="18" thickBot="1" x14ac:dyDescent="0.25">
      <c r="A5" s="242" t="s">
        <v>6</v>
      </c>
      <c r="B5" s="244"/>
      <c r="C5" s="243"/>
      <c r="D5" s="245" t="s">
        <v>7</v>
      </c>
      <c r="E5" s="246"/>
      <c r="F5" s="246"/>
      <c r="G5" s="247"/>
      <c r="H5" s="245" t="s">
        <v>8</v>
      </c>
      <c r="I5" s="246"/>
      <c r="J5" s="247"/>
      <c r="K5" s="20" t="s">
        <v>48</v>
      </c>
      <c r="L5" s="22" t="s">
        <v>49</v>
      </c>
      <c r="M5" s="22" t="s">
        <v>50</v>
      </c>
      <c r="O5" s="197" t="s">
        <v>219</v>
      </c>
    </row>
    <row r="6" spans="1:15" ht="18" thickBot="1" x14ac:dyDescent="0.25">
      <c r="A6" s="240" t="s">
        <v>6</v>
      </c>
      <c r="B6" s="248"/>
      <c r="C6" s="241"/>
      <c r="D6" s="249">
        <f>L3</f>
        <v>2150973</v>
      </c>
      <c r="E6" s="236"/>
      <c r="F6" s="236"/>
      <c r="G6" s="237"/>
      <c r="H6" s="249">
        <f>M3</f>
        <v>1362729</v>
      </c>
      <c r="I6" s="236"/>
      <c r="J6" s="237"/>
    </row>
    <row r="7" spans="1:15" ht="31.5" thickBot="1" x14ac:dyDescent="0.25">
      <c r="A7" s="15" t="s">
        <v>9</v>
      </c>
      <c r="B7" s="16" t="s">
        <v>10</v>
      </c>
      <c r="C7" s="16" t="s">
        <v>11</v>
      </c>
      <c r="D7" s="254" t="s">
        <v>12</v>
      </c>
      <c r="E7" s="255"/>
      <c r="F7" s="16" t="s">
        <v>1</v>
      </c>
      <c r="G7" s="16" t="s">
        <v>42</v>
      </c>
      <c r="H7" s="16" t="s">
        <v>3</v>
      </c>
      <c r="I7" s="16" t="s">
        <v>4</v>
      </c>
      <c r="J7" s="16" t="s">
        <v>5</v>
      </c>
    </row>
    <row r="8" spans="1:15" ht="49.5" thickBot="1" x14ac:dyDescent="0.25">
      <c r="A8" s="5">
        <v>1</v>
      </c>
      <c r="B8" s="6">
        <v>1</v>
      </c>
      <c r="C8" s="7" t="s">
        <v>13</v>
      </c>
      <c r="D8" s="240" t="s">
        <v>14</v>
      </c>
      <c r="E8" s="241"/>
      <c r="F8" s="8">
        <v>32500</v>
      </c>
      <c r="G8" s="9"/>
      <c r="H8" s="9"/>
      <c r="I8" s="9"/>
      <c r="J8" s="8">
        <v>32500</v>
      </c>
      <c r="K8" s="19" t="s">
        <v>43</v>
      </c>
      <c r="L8" s="21">
        <f>IF(K8="y",J8,0)</f>
        <v>32500</v>
      </c>
      <c r="M8" s="21">
        <f t="shared" ref="M8:M20" si="0">IF(K8="n",J8,0)</f>
        <v>0</v>
      </c>
      <c r="O8" s="195">
        <v>32500</v>
      </c>
    </row>
    <row r="9" spans="1:15" ht="49.5" thickBot="1" x14ac:dyDescent="0.25">
      <c r="A9" s="10">
        <v>1</v>
      </c>
      <c r="B9" s="11">
        <v>2</v>
      </c>
      <c r="C9" s="12" t="s">
        <v>15</v>
      </c>
      <c r="D9" s="238" t="s">
        <v>16</v>
      </c>
      <c r="E9" s="239"/>
      <c r="F9" s="13">
        <v>105902</v>
      </c>
      <c r="G9" s="14"/>
      <c r="H9" s="14"/>
      <c r="I9" s="14"/>
      <c r="J9" s="13">
        <v>105902</v>
      </c>
      <c r="K9" s="19" t="s">
        <v>43</v>
      </c>
      <c r="L9" s="21">
        <f t="shared" ref="L9:L20" si="1">IF(K9="y",J9,0)</f>
        <v>105902</v>
      </c>
      <c r="M9" s="21">
        <f t="shared" si="0"/>
        <v>0</v>
      </c>
      <c r="O9" s="195">
        <v>105902</v>
      </c>
    </row>
    <row r="10" spans="1:15" ht="49.5" thickBot="1" x14ac:dyDescent="0.25">
      <c r="A10" s="5">
        <v>1</v>
      </c>
      <c r="B10" s="6">
        <v>3</v>
      </c>
      <c r="C10" s="7" t="s">
        <v>13</v>
      </c>
      <c r="D10" s="240" t="s">
        <v>17</v>
      </c>
      <c r="E10" s="241"/>
      <c r="F10" s="8">
        <v>152381</v>
      </c>
      <c r="G10" s="9"/>
      <c r="H10" s="9"/>
      <c r="I10" s="9"/>
      <c r="J10" s="8">
        <v>152381</v>
      </c>
      <c r="K10" s="19" t="s">
        <v>44</v>
      </c>
      <c r="L10" s="21">
        <f t="shared" si="1"/>
        <v>0</v>
      </c>
      <c r="M10" s="21">
        <f>IF(K10="n",J10,0)</f>
        <v>152381</v>
      </c>
      <c r="O10" s="195">
        <f>'FY21-22 Forecast'!S84+'FY21-22 Forecast'!S119</f>
        <v>86973.263333333336</v>
      </c>
    </row>
    <row r="11" spans="1:15" ht="94.15" customHeight="1" thickBot="1" x14ac:dyDescent="0.25">
      <c r="A11" s="10">
        <v>1</v>
      </c>
      <c r="B11" s="11">
        <v>4</v>
      </c>
      <c r="C11" s="12" t="s">
        <v>15</v>
      </c>
      <c r="D11" s="238" t="s">
        <v>18</v>
      </c>
      <c r="E11" s="239"/>
      <c r="F11" s="13">
        <v>260240</v>
      </c>
      <c r="G11" s="14"/>
      <c r="H11" s="14"/>
      <c r="I11" s="14"/>
      <c r="J11" s="13">
        <v>260240</v>
      </c>
      <c r="K11" s="19" t="s">
        <v>44</v>
      </c>
      <c r="L11" s="21">
        <f t="shared" si="1"/>
        <v>0</v>
      </c>
      <c r="M11" s="21">
        <f t="shared" si="0"/>
        <v>260240</v>
      </c>
      <c r="O11" s="195">
        <v>260240</v>
      </c>
    </row>
    <row r="12" spans="1:15" ht="49.5" thickBot="1" x14ac:dyDescent="0.25">
      <c r="A12" s="5">
        <v>1</v>
      </c>
      <c r="B12" s="6">
        <v>5</v>
      </c>
      <c r="C12" s="7" t="s">
        <v>13</v>
      </c>
      <c r="D12" s="240" t="s">
        <v>19</v>
      </c>
      <c r="E12" s="241"/>
      <c r="F12" s="8">
        <v>1792971</v>
      </c>
      <c r="G12" s="9"/>
      <c r="H12" s="9"/>
      <c r="I12" s="9"/>
      <c r="J12" s="8">
        <v>1792971</v>
      </c>
      <c r="K12" s="19" t="s">
        <v>43</v>
      </c>
      <c r="L12" s="21">
        <f t="shared" si="1"/>
        <v>1792971</v>
      </c>
      <c r="M12" s="21">
        <f t="shared" si="0"/>
        <v>0</v>
      </c>
      <c r="O12" s="195">
        <f>'FY21-22 Forecast'!S62+'FY21-22 Forecast'!S64+'FY21-22 Forecast'!S80*'FY21-22 Forecast'!S79</f>
        <v>1850056.0881433149</v>
      </c>
    </row>
    <row r="13" spans="1:15" ht="49.5" thickBot="1" x14ac:dyDescent="0.25">
      <c r="A13" s="10">
        <v>1</v>
      </c>
      <c r="B13" s="11">
        <v>6</v>
      </c>
      <c r="C13" s="12" t="s">
        <v>15</v>
      </c>
      <c r="D13" s="238" t="s">
        <v>20</v>
      </c>
      <c r="E13" s="239"/>
      <c r="F13" s="13">
        <v>28015</v>
      </c>
      <c r="G13" s="14"/>
      <c r="H13" s="14"/>
      <c r="I13" s="14"/>
      <c r="J13" s="13">
        <v>28015</v>
      </c>
      <c r="K13" s="19" t="s">
        <v>44</v>
      </c>
      <c r="L13" s="21">
        <f t="shared" si="1"/>
        <v>0</v>
      </c>
      <c r="M13" s="21">
        <f t="shared" si="0"/>
        <v>28015</v>
      </c>
      <c r="O13" s="195">
        <v>28015</v>
      </c>
    </row>
    <row r="14" spans="1:15" ht="46.9" customHeight="1" thickBot="1" x14ac:dyDescent="0.25">
      <c r="A14" s="5">
        <v>3</v>
      </c>
      <c r="B14" s="6">
        <v>1</v>
      </c>
      <c r="C14" s="12" t="s">
        <v>22</v>
      </c>
      <c r="D14" s="240" t="s">
        <v>21</v>
      </c>
      <c r="E14" s="241"/>
      <c r="F14" s="8">
        <v>531712</v>
      </c>
      <c r="G14" s="9"/>
      <c r="H14" s="9"/>
      <c r="I14" s="9"/>
      <c r="J14" s="8">
        <v>531712</v>
      </c>
      <c r="K14" s="19" t="s">
        <v>44</v>
      </c>
      <c r="L14" s="21">
        <f t="shared" si="1"/>
        <v>0</v>
      </c>
      <c r="M14" s="21">
        <f t="shared" si="0"/>
        <v>531712</v>
      </c>
      <c r="O14" s="195">
        <f>'FY21-22 Forecast'!S117</f>
        <v>711591.98</v>
      </c>
    </row>
    <row r="15" spans="1:15" ht="49.5" thickBot="1" x14ac:dyDescent="0.25">
      <c r="A15" s="10">
        <v>3</v>
      </c>
      <c r="B15" s="11">
        <v>2</v>
      </c>
      <c r="C15" s="12" t="s">
        <v>15</v>
      </c>
      <c r="D15" s="238" t="s">
        <v>23</v>
      </c>
      <c r="E15" s="239"/>
      <c r="F15" s="13">
        <v>95000</v>
      </c>
      <c r="G15" s="14"/>
      <c r="H15" s="14"/>
      <c r="I15" s="14"/>
      <c r="J15" s="13">
        <v>95000</v>
      </c>
      <c r="K15" s="19" t="s">
        <v>43</v>
      </c>
      <c r="L15" s="21">
        <f t="shared" si="1"/>
        <v>95000</v>
      </c>
      <c r="M15" s="21">
        <f t="shared" si="0"/>
        <v>0</v>
      </c>
      <c r="O15" s="195">
        <v>95000</v>
      </c>
    </row>
    <row r="16" spans="1:15" ht="49.5" thickBot="1" x14ac:dyDescent="0.25">
      <c r="A16" s="5">
        <v>3</v>
      </c>
      <c r="B16" s="6">
        <v>4</v>
      </c>
      <c r="C16" s="7" t="s">
        <v>25</v>
      </c>
      <c r="D16" s="240" t="s">
        <v>24</v>
      </c>
      <c r="E16" s="241"/>
      <c r="F16" s="8">
        <v>238000</v>
      </c>
      <c r="G16" s="9"/>
      <c r="H16" s="9"/>
      <c r="I16" s="9"/>
      <c r="J16" s="8">
        <v>238000</v>
      </c>
      <c r="K16" s="19" t="s">
        <v>44</v>
      </c>
      <c r="L16" s="21">
        <f t="shared" si="1"/>
        <v>0</v>
      </c>
      <c r="M16" s="21">
        <f t="shared" si="0"/>
        <v>238000</v>
      </c>
      <c r="O16" s="195">
        <f>'FY21-22 Forecast'!S89</f>
        <v>209367.42400490516</v>
      </c>
    </row>
    <row r="17" spans="1:15" ht="49.5" thickBot="1" x14ac:dyDescent="0.25">
      <c r="A17" s="10">
        <v>3</v>
      </c>
      <c r="B17" s="11">
        <v>5</v>
      </c>
      <c r="C17" s="12" t="s">
        <v>15</v>
      </c>
      <c r="D17" s="238" t="s">
        <v>26</v>
      </c>
      <c r="E17" s="239"/>
      <c r="F17" s="13">
        <v>22729</v>
      </c>
      <c r="G17" s="14"/>
      <c r="H17" s="14"/>
      <c r="I17" s="14"/>
      <c r="J17" s="13">
        <v>22729</v>
      </c>
      <c r="K17" s="19" t="s">
        <v>43</v>
      </c>
      <c r="L17" s="21">
        <f t="shared" si="1"/>
        <v>22729</v>
      </c>
      <c r="M17" s="21">
        <f t="shared" si="0"/>
        <v>0</v>
      </c>
      <c r="O17" s="195">
        <v>22729</v>
      </c>
    </row>
    <row r="18" spans="1:15" ht="49.5" thickBot="1" x14ac:dyDescent="0.25">
      <c r="A18" s="5">
        <v>3</v>
      </c>
      <c r="B18" s="6">
        <v>6</v>
      </c>
      <c r="C18" s="7" t="s">
        <v>13</v>
      </c>
      <c r="D18" s="240" t="s">
        <v>27</v>
      </c>
      <c r="E18" s="241"/>
      <c r="F18" s="8">
        <v>8000</v>
      </c>
      <c r="G18" s="9"/>
      <c r="H18" s="9"/>
      <c r="I18" s="9"/>
      <c r="J18" s="8">
        <v>8000</v>
      </c>
      <c r="K18" s="19" t="s">
        <v>43</v>
      </c>
      <c r="L18" s="21">
        <f t="shared" si="1"/>
        <v>8000</v>
      </c>
      <c r="M18" s="21">
        <f t="shared" si="0"/>
        <v>0</v>
      </c>
      <c r="O18" s="195">
        <v>8000</v>
      </c>
    </row>
    <row r="19" spans="1:15" ht="49.5" thickBot="1" x14ac:dyDescent="0.25">
      <c r="A19" s="10">
        <v>3</v>
      </c>
      <c r="B19" s="11">
        <v>7</v>
      </c>
      <c r="C19" s="12" t="s">
        <v>15</v>
      </c>
      <c r="D19" s="238" t="s">
        <v>28</v>
      </c>
      <c r="E19" s="239"/>
      <c r="F19" s="13">
        <v>93871</v>
      </c>
      <c r="G19" s="14"/>
      <c r="H19" s="14"/>
      <c r="I19" s="14"/>
      <c r="J19" s="13">
        <v>93871</v>
      </c>
      <c r="K19" s="19" t="s">
        <v>43</v>
      </c>
      <c r="L19" s="21">
        <f t="shared" si="1"/>
        <v>93871</v>
      </c>
      <c r="M19" s="21">
        <f t="shared" si="0"/>
        <v>0</v>
      </c>
      <c r="O19" s="195">
        <f>58873+21679</f>
        <v>80552</v>
      </c>
    </row>
    <row r="20" spans="1:15" ht="49.5" thickBot="1" x14ac:dyDescent="0.25">
      <c r="A20" s="5">
        <v>3</v>
      </c>
      <c r="B20" s="6">
        <v>9</v>
      </c>
      <c r="C20" s="7" t="s">
        <v>13</v>
      </c>
      <c r="D20" s="240" t="s">
        <v>29</v>
      </c>
      <c r="E20" s="241"/>
      <c r="F20" s="23">
        <v>7500</v>
      </c>
      <c r="G20" s="9"/>
      <c r="H20" s="9"/>
      <c r="I20" s="9"/>
      <c r="J20" s="23">
        <v>152381</v>
      </c>
      <c r="K20" s="19" t="s">
        <v>44</v>
      </c>
      <c r="L20" s="21">
        <f t="shared" si="1"/>
        <v>0</v>
      </c>
      <c r="M20" s="21">
        <f t="shared" si="0"/>
        <v>152381</v>
      </c>
      <c r="O20" s="195">
        <v>7500</v>
      </c>
    </row>
    <row r="21" spans="1:15" x14ac:dyDescent="0.2">
      <c r="F21" s="25">
        <f>SUM(F8:F20)</f>
        <v>3368821</v>
      </c>
      <c r="J21" s="24">
        <f>SUM(J8:J20)</f>
        <v>3513702</v>
      </c>
      <c r="O21" s="195">
        <f>SUM(O8:O20)</f>
        <v>3498426.7554815533</v>
      </c>
    </row>
    <row r="22" spans="1:15" x14ac:dyDescent="0.2">
      <c r="F22" s="24">
        <f>5426659-F21</f>
        <v>2057838</v>
      </c>
    </row>
    <row r="26" spans="1:15" ht="21" thickBot="1" x14ac:dyDescent="0.25">
      <c r="A26" s="2" t="s">
        <v>30</v>
      </c>
    </row>
    <row r="27" spans="1:15" ht="18" thickBot="1" x14ac:dyDescent="0.25">
      <c r="A27" s="242" t="s">
        <v>31</v>
      </c>
      <c r="B27" s="243"/>
      <c r="C27" s="242" t="s">
        <v>32</v>
      </c>
      <c r="D27" s="244"/>
      <c r="E27" s="243"/>
      <c r="F27" s="242" t="s">
        <v>5</v>
      </c>
      <c r="G27" s="244"/>
      <c r="H27" s="243"/>
    </row>
    <row r="28" spans="1:15" ht="18" thickBot="1" x14ac:dyDescent="0.25">
      <c r="A28" s="230" t="s">
        <v>33</v>
      </c>
      <c r="B28" s="231"/>
      <c r="C28" s="235">
        <f>SUM(G33:G45)</f>
        <v>2579656</v>
      </c>
      <c r="D28" s="236"/>
      <c r="E28" s="237"/>
      <c r="F28" s="235">
        <f>SUM(H33:H45)</f>
        <v>3170821</v>
      </c>
      <c r="G28" s="236"/>
      <c r="H28" s="237"/>
    </row>
    <row r="29" spans="1:15" ht="18" thickBot="1" x14ac:dyDescent="0.25">
      <c r="A29" s="225" t="s">
        <v>34</v>
      </c>
      <c r="B29" s="226"/>
      <c r="C29" s="227">
        <f>C28</f>
        <v>2579656</v>
      </c>
      <c r="D29" s="228"/>
      <c r="E29" s="229"/>
      <c r="F29" s="227">
        <f>F28</f>
        <v>3170821</v>
      </c>
      <c r="G29" s="228"/>
      <c r="H29" s="229"/>
    </row>
    <row r="30" spans="1:15" ht="18" thickBot="1" x14ac:dyDescent="0.25">
      <c r="A30" s="230" t="s">
        <v>35</v>
      </c>
      <c r="B30" s="231"/>
      <c r="C30" s="232">
        <v>0</v>
      </c>
      <c r="D30" s="233"/>
      <c r="E30" s="234"/>
      <c r="F30" s="232">
        <v>0</v>
      </c>
      <c r="G30" s="233"/>
      <c r="H30" s="234"/>
    </row>
    <row r="31" spans="1:15" ht="18" thickBot="1" x14ac:dyDescent="0.25">
      <c r="A31" s="225" t="s">
        <v>36</v>
      </c>
      <c r="B31" s="226"/>
      <c r="C31" s="227">
        <v>0</v>
      </c>
      <c r="D31" s="228"/>
      <c r="E31" s="229"/>
      <c r="F31" s="227">
        <v>0</v>
      </c>
      <c r="G31" s="228"/>
      <c r="H31" s="229"/>
    </row>
    <row r="32" spans="1:15" ht="46.5" thickBot="1" x14ac:dyDescent="0.25">
      <c r="A32" s="3" t="s">
        <v>9</v>
      </c>
      <c r="B32" s="4" t="s">
        <v>10</v>
      </c>
      <c r="C32" s="4" t="s">
        <v>37</v>
      </c>
      <c r="D32" s="4" t="s">
        <v>38</v>
      </c>
      <c r="E32" s="4" t="s">
        <v>39</v>
      </c>
      <c r="F32" s="4" t="s">
        <v>40</v>
      </c>
      <c r="G32" s="4" t="s">
        <v>1</v>
      </c>
      <c r="H32" s="4" t="s">
        <v>5</v>
      </c>
    </row>
    <row r="33" spans="1:9" ht="85.15" customHeight="1" thickBot="1" x14ac:dyDescent="0.25">
      <c r="A33" s="5">
        <v>1</v>
      </c>
      <c r="B33" s="6">
        <v>1</v>
      </c>
      <c r="C33" s="17" t="s">
        <v>14</v>
      </c>
      <c r="D33" s="7" t="s">
        <v>41</v>
      </c>
      <c r="E33" s="7" t="s">
        <v>13</v>
      </c>
      <c r="F33" s="9"/>
      <c r="G33" s="8">
        <v>32500</v>
      </c>
      <c r="H33" s="8">
        <v>32500</v>
      </c>
      <c r="I33" t="s">
        <v>45</v>
      </c>
    </row>
    <row r="34" spans="1:9" ht="64.5" thickBot="1" x14ac:dyDescent="0.25">
      <c r="A34" s="10">
        <v>1</v>
      </c>
      <c r="B34" s="11">
        <v>2</v>
      </c>
      <c r="C34" s="18" t="s">
        <v>16</v>
      </c>
      <c r="D34" s="12" t="s">
        <v>41</v>
      </c>
      <c r="E34" s="12" t="s">
        <v>15</v>
      </c>
      <c r="F34" s="14"/>
      <c r="G34" s="13">
        <v>105902</v>
      </c>
      <c r="H34" s="13">
        <v>105902</v>
      </c>
      <c r="I34" t="s">
        <v>45</v>
      </c>
    </row>
    <row r="35" spans="1:9" ht="64.5" thickBot="1" x14ac:dyDescent="0.25">
      <c r="A35" s="5">
        <v>1</v>
      </c>
      <c r="B35" s="6">
        <v>3</v>
      </c>
      <c r="C35" s="17" t="s">
        <v>17</v>
      </c>
      <c r="D35" s="7" t="s">
        <v>41</v>
      </c>
      <c r="E35" s="7" t="s">
        <v>13</v>
      </c>
      <c r="F35" s="9"/>
      <c r="G35" s="8">
        <v>0</v>
      </c>
      <c r="H35" s="8">
        <v>152381</v>
      </c>
      <c r="I35" t="s">
        <v>46</v>
      </c>
    </row>
    <row r="36" spans="1:9" ht="76.5" thickBot="1" x14ac:dyDescent="0.25">
      <c r="A36" s="10">
        <v>1</v>
      </c>
      <c r="B36" s="11">
        <v>4</v>
      </c>
      <c r="C36" s="18" t="s">
        <v>18</v>
      </c>
      <c r="D36" s="12" t="s">
        <v>41</v>
      </c>
      <c r="E36" s="12" t="s">
        <v>15</v>
      </c>
      <c r="F36" s="14"/>
      <c r="G36" s="13">
        <v>260240</v>
      </c>
      <c r="H36" s="13">
        <v>260240</v>
      </c>
      <c r="I36" t="s">
        <v>45</v>
      </c>
    </row>
    <row r="37" spans="1:9" ht="85.15" customHeight="1" thickBot="1" x14ac:dyDescent="0.25">
      <c r="A37" s="5">
        <v>1</v>
      </c>
      <c r="B37" s="6">
        <v>5</v>
      </c>
      <c r="C37" s="17" t="s">
        <v>19</v>
      </c>
      <c r="D37" s="7" t="s">
        <v>41</v>
      </c>
      <c r="E37" s="7" t="s">
        <v>13</v>
      </c>
      <c r="F37" s="9"/>
      <c r="G37" s="8">
        <v>1792971</v>
      </c>
      <c r="H37" s="8">
        <v>1792971</v>
      </c>
      <c r="I37" t="s">
        <v>45</v>
      </c>
    </row>
    <row r="38" spans="1:9" ht="64.5" thickBot="1" x14ac:dyDescent="0.25">
      <c r="A38" s="10">
        <v>1</v>
      </c>
      <c r="B38" s="11">
        <v>6</v>
      </c>
      <c r="C38" s="18" t="s">
        <v>20</v>
      </c>
      <c r="D38" s="12" t="s">
        <v>41</v>
      </c>
      <c r="E38" s="12" t="s">
        <v>15</v>
      </c>
      <c r="F38" s="14"/>
      <c r="G38" s="13">
        <v>28015</v>
      </c>
      <c r="H38" s="13">
        <v>28015</v>
      </c>
      <c r="I38" t="s">
        <v>45</v>
      </c>
    </row>
    <row r="39" spans="1:9" ht="64.5" thickBot="1" x14ac:dyDescent="0.25">
      <c r="A39" s="5">
        <v>3</v>
      </c>
      <c r="B39" s="6">
        <v>1</v>
      </c>
      <c r="C39" s="17" t="s">
        <v>21</v>
      </c>
      <c r="D39" s="7" t="s">
        <v>41</v>
      </c>
      <c r="E39" s="7" t="s">
        <v>13</v>
      </c>
      <c r="F39" s="17"/>
      <c r="G39" s="8">
        <f>531712*0.25</f>
        <v>132928</v>
      </c>
      <c r="H39" s="8">
        <f>531712</f>
        <v>531712</v>
      </c>
      <c r="I39" t="s">
        <v>47</v>
      </c>
    </row>
    <row r="40" spans="1:9" ht="64.5" thickBot="1" x14ac:dyDescent="0.25">
      <c r="A40" s="10">
        <v>3</v>
      </c>
      <c r="B40" s="11">
        <v>2</v>
      </c>
      <c r="C40" s="18" t="s">
        <v>23</v>
      </c>
      <c r="D40" s="12" t="s">
        <v>41</v>
      </c>
      <c r="E40" s="12" t="s">
        <v>15</v>
      </c>
      <c r="F40" s="14"/>
      <c r="G40" s="13">
        <v>95000</v>
      </c>
      <c r="H40" s="13">
        <v>95000</v>
      </c>
      <c r="I40" t="s">
        <v>45</v>
      </c>
    </row>
    <row r="41" spans="1:9" ht="64.5" thickBot="1" x14ac:dyDescent="0.25">
      <c r="A41" s="5">
        <v>3</v>
      </c>
      <c r="B41" s="6">
        <v>4</v>
      </c>
      <c r="C41" s="17" t="s">
        <v>24</v>
      </c>
      <c r="D41" s="7" t="s">
        <v>41</v>
      </c>
      <c r="E41" s="7" t="s">
        <v>13</v>
      </c>
      <c r="F41" s="9"/>
      <c r="G41" s="8">
        <v>0</v>
      </c>
      <c r="H41" s="8">
        <v>40000</v>
      </c>
      <c r="I41" t="s">
        <v>51</v>
      </c>
    </row>
    <row r="42" spans="1:9" ht="64.5" thickBot="1" x14ac:dyDescent="0.25">
      <c r="A42" s="10">
        <v>3</v>
      </c>
      <c r="B42" s="11">
        <v>5</v>
      </c>
      <c r="C42" s="18" t="s">
        <v>26</v>
      </c>
      <c r="D42" s="12" t="s">
        <v>41</v>
      </c>
      <c r="E42" s="12" t="s">
        <v>15</v>
      </c>
      <c r="F42" s="14"/>
      <c r="G42" s="13">
        <v>22729</v>
      </c>
      <c r="H42" s="13">
        <v>22729</v>
      </c>
      <c r="I42" t="s">
        <v>45</v>
      </c>
    </row>
    <row r="43" spans="1:9" ht="64.5" thickBot="1" x14ac:dyDescent="0.25">
      <c r="A43" s="5">
        <v>3</v>
      </c>
      <c r="B43" s="6">
        <v>6</v>
      </c>
      <c r="C43" s="17" t="s">
        <v>27</v>
      </c>
      <c r="D43" s="7" t="s">
        <v>41</v>
      </c>
      <c r="E43" s="7" t="s">
        <v>13</v>
      </c>
      <c r="F43" s="17"/>
      <c r="G43" s="8">
        <v>8000</v>
      </c>
      <c r="H43" s="8">
        <v>8000</v>
      </c>
      <c r="I43" t="s">
        <v>45</v>
      </c>
    </row>
    <row r="44" spans="1:9" ht="64.5" thickBot="1" x14ac:dyDescent="0.25">
      <c r="A44" s="10">
        <v>3</v>
      </c>
      <c r="B44" s="11">
        <v>7</v>
      </c>
      <c r="C44" s="18" t="s">
        <v>28</v>
      </c>
      <c r="D44" s="12" t="s">
        <v>41</v>
      </c>
      <c r="E44" s="12" t="s">
        <v>15</v>
      </c>
      <c r="F44" s="14"/>
      <c r="G44" s="13">
        <v>93871</v>
      </c>
      <c r="H44" s="13">
        <v>93871</v>
      </c>
      <c r="I44" t="s">
        <v>45</v>
      </c>
    </row>
    <row r="45" spans="1:9" ht="64.5" thickBot="1" x14ac:dyDescent="0.25">
      <c r="A45" s="5">
        <v>3</v>
      </c>
      <c r="B45" s="6">
        <v>9</v>
      </c>
      <c r="C45" s="17" t="s">
        <v>29</v>
      </c>
      <c r="D45" s="7" t="s">
        <v>41</v>
      </c>
      <c r="E45" s="7" t="s">
        <v>13</v>
      </c>
      <c r="F45" s="17"/>
      <c r="G45" s="8">
        <v>7500</v>
      </c>
      <c r="H45" s="8">
        <v>7500</v>
      </c>
      <c r="I45" t="s">
        <v>45</v>
      </c>
    </row>
    <row r="47" spans="1:9" x14ac:dyDescent="0.2">
      <c r="A47" s="1"/>
    </row>
  </sheetData>
  <mergeCells count="45">
    <mergeCell ref="F31:H31"/>
    <mergeCell ref="C31:E31"/>
    <mergeCell ref="A31:B31"/>
    <mergeCell ref="F30:H30"/>
    <mergeCell ref="C30:E30"/>
    <mergeCell ref="A30:B30"/>
    <mergeCell ref="D17:E17"/>
    <mergeCell ref="F29:H29"/>
    <mergeCell ref="C29:E29"/>
    <mergeCell ref="A29:B29"/>
    <mergeCell ref="D19:E19"/>
    <mergeCell ref="D20:E20"/>
    <mergeCell ref="F28:H28"/>
    <mergeCell ref="C28:E28"/>
    <mergeCell ref="A28:B28"/>
    <mergeCell ref="F27:H27"/>
    <mergeCell ref="C27:E27"/>
    <mergeCell ref="A27:B27"/>
    <mergeCell ref="D9:E9"/>
    <mergeCell ref="D13:E13"/>
    <mergeCell ref="D14:E14"/>
    <mergeCell ref="D15:E15"/>
    <mergeCell ref="D16:E16"/>
    <mergeCell ref="A6:C6"/>
    <mergeCell ref="D18:E18"/>
    <mergeCell ref="I3:J3"/>
    <mergeCell ref="G3:H3"/>
    <mergeCell ref="E3:F3"/>
    <mergeCell ref="C3:D3"/>
    <mergeCell ref="D11:E11"/>
    <mergeCell ref="D12:E12"/>
    <mergeCell ref="A5:C5"/>
    <mergeCell ref="I4:J4"/>
    <mergeCell ref="G4:H4"/>
    <mergeCell ref="E4:F4"/>
    <mergeCell ref="C4:D4"/>
    <mergeCell ref="A4:B4"/>
    <mergeCell ref="A3:B3"/>
    <mergeCell ref="D10:E10"/>
    <mergeCell ref="H5:J5"/>
    <mergeCell ref="D5:G5"/>
    <mergeCell ref="D8:E8"/>
    <mergeCell ref="D7:E7"/>
    <mergeCell ref="H6:J6"/>
    <mergeCell ref="D6:G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CAD76-700E-49C8-BDFA-F37DC44C4E8E}">
  <sheetPr>
    <tabColor rgb="FF0070C0"/>
    <pageSetUpPr fitToPage="1"/>
  </sheetPr>
  <dimension ref="A1:AE189"/>
  <sheetViews>
    <sheetView zoomScaleNormal="100" zoomScaleSheetLayoutView="100" workbookViewId="0">
      <pane xSplit="4" ySplit="4" topLeftCell="E71" activePane="bottomRight" state="frozen"/>
      <selection activeCell="A134" sqref="A134:XFD134"/>
      <selection pane="bottomLeft" activeCell="A134" sqref="A134:XFD134"/>
      <selection pane="topRight" activeCell="A134" sqref="A134:XFD134"/>
      <selection pane="bottomRight" activeCell="S89" sqref="S89"/>
    </sheetView>
  </sheetViews>
  <sheetFormatPr defaultColWidth="8.01171875" defaultRowHeight="11.25" x14ac:dyDescent="0.15"/>
  <cols>
    <col min="1" max="1" width="2.21875" style="30" customWidth="1"/>
    <col min="2" max="2" width="1.4765625" style="30" customWidth="1"/>
    <col min="3" max="3" width="4.80859375" style="40" customWidth="1"/>
    <col min="4" max="4" width="20.34375" style="40" customWidth="1"/>
    <col min="5" max="16" width="7.765625" style="42" customWidth="1"/>
    <col min="17" max="17" width="8.62890625" style="42" bestFit="1" customWidth="1"/>
    <col min="18" max="18" width="1.4765625" style="42" customWidth="1"/>
    <col min="19" max="19" width="8.75390625" style="37" customWidth="1"/>
    <col min="20" max="20" width="1.72265625" style="42" customWidth="1"/>
    <col min="21" max="22" width="8.75390625" style="42" customWidth="1"/>
    <col min="23" max="23" width="1.72265625" style="40" customWidth="1"/>
    <col min="24" max="25" width="8.75390625" style="42" hidden="1" customWidth="1"/>
    <col min="26" max="16384" width="8.01171875" style="40"/>
  </cols>
  <sheetData>
    <row r="1" spans="1:25" s="30" customFormat="1" ht="21" x14ac:dyDescent="0.3">
      <c r="A1" s="29" t="s">
        <v>202</v>
      </c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  <c r="P1" s="32"/>
      <c r="Q1" s="32"/>
      <c r="R1" s="32"/>
      <c r="S1" s="33"/>
      <c r="T1" s="32"/>
      <c r="U1" s="31"/>
      <c r="V1" s="31"/>
      <c r="X1" s="31"/>
      <c r="Y1" s="31"/>
    </row>
    <row r="2" spans="1:25" s="30" customFormat="1" ht="15" x14ac:dyDescent="0.2">
      <c r="A2" s="34" t="s">
        <v>52</v>
      </c>
      <c r="B2" s="35"/>
      <c r="C2" s="35"/>
      <c r="D2" s="35"/>
      <c r="E2" s="36"/>
      <c r="F2" s="31"/>
      <c r="G2" s="31"/>
      <c r="H2" s="31"/>
      <c r="I2" s="31"/>
      <c r="J2" s="31"/>
      <c r="L2" s="30">
        <f>742-16-6</f>
        <v>720</v>
      </c>
      <c r="M2" s="37"/>
      <c r="N2" s="31"/>
      <c r="O2" s="31"/>
      <c r="R2" s="37"/>
      <c r="S2" s="37"/>
      <c r="U2" s="38"/>
      <c r="V2" s="38"/>
      <c r="X2" s="38"/>
      <c r="Y2" s="38"/>
    </row>
    <row r="3" spans="1:25" ht="13.5" customHeight="1" x14ac:dyDescent="0.2">
      <c r="A3" s="39" t="s">
        <v>53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7"/>
      <c r="S3" s="41"/>
      <c r="U3" s="43"/>
      <c r="V3" s="43"/>
      <c r="X3" s="43"/>
      <c r="Y3" s="43"/>
    </row>
    <row r="4" spans="1:25" s="44" customFormat="1" ht="29.45" customHeight="1" x14ac:dyDescent="0.15">
      <c r="C4" s="45" t="s">
        <v>54</v>
      </c>
      <c r="D4" s="46">
        <v>245.10000000000002</v>
      </c>
      <c r="E4" s="47">
        <v>44378</v>
      </c>
      <c r="F4" s="47">
        <f t="shared" ref="F4:P4" si="0">E4+31</f>
        <v>44409</v>
      </c>
      <c r="G4" s="47">
        <f t="shared" si="0"/>
        <v>44440</v>
      </c>
      <c r="H4" s="47">
        <f t="shared" si="0"/>
        <v>44471</v>
      </c>
      <c r="I4" s="47">
        <f t="shared" si="0"/>
        <v>44502</v>
      </c>
      <c r="J4" s="47">
        <f t="shared" si="0"/>
        <v>44533</v>
      </c>
      <c r="K4" s="47">
        <f t="shared" si="0"/>
        <v>44564</v>
      </c>
      <c r="L4" s="47">
        <f t="shared" si="0"/>
        <v>44595</v>
      </c>
      <c r="M4" s="47">
        <f t="shared" si="0"/>
        <v>44626</v>
      </c>
      <c r="N4" s="47">
        <f t="shared" si="0"/>
        <v>44657</v>
      </c>
      <c r="O4" s="47">
        <f t="shared" si="0"/>
        <v>44688</v>
      </c>
      <c r="P4" s="47">
        <f t="shared" si="0"/>
        <v>44719</v>
      </c>
      <c r="Q4" s="48" t="s">
        <v>55</v>
      </c>
      <c r="R4" s="49"/>
      <c r="S4" s="50" t="s">
        <v>56</v>
      </c>
      <c r="T4" s="51"/>
      <c r="U4" s="52" t="s">
        <v>57</v>
      </c>
      <c r="V4" s="52" t="s">
        <v>58</v>
      </c>
      <c r="X4" s="53" t="s">
        <v>59</v>
      </c>
      <c r="Y4" s="53" t="s">
        <v>58</v>
      </c>
    </row>
    <row r="5" spans="1:25" s="66" customFormat="1" ht="12" hidden="1" customHeight="1" x14ac:dyDescent="0.15">
      <c r="A5" s="54" t="s">
        <v>60</v>
      </c>
      <c r="B5" s="55"/>
      <c r="C5" s="56"/>
      <c r="D5" s="56"/>
      <c r="E5" s="57">
        <v>0</v>
      </c>
      <c r="F5" s="58">
        <v>0.05</v>
      </c>
      <c r="G5" s="58">
        <v>0.05</v>
      </c>
      <c r="H5" s="58">
        <v>0.09</v>
      </c>
      <c r="I5" s="58">
        <v>0.09</v>
      </c>
      <c r="J5" s="58">
        <v>0.09</v>
      </c>
      <c r="K5" s="59">
        <v>0.09</v>
      </c>
      <c r="L5" s="60">
        <v>0.09</v>
      </c>
      <c r="M5" s="61">
        <v>0.19999999999999998</v>
      </c>
      <c r="N5" s="59">
        <v>0.19999999999999998</v>
      </c>
      <c r="O5" s="59">
        <v>0.19999999999999998</v>
      </c>
      <c r="P5" s="59">
        <v>0.19999999999999998</v>
      </c>
      <c r="Q5" s="62">
        <v>0.2</v>
      </c>
      <c r="R5" s="63"/>
      <c r="S5" s="64"/>
      <c r="T5" s="31"/>
      <c r="U5" s="65"/>
      <c r="V5" s="65"/>
      <c r="X5" s="65"/>
      <c r="Y5" s="65"/>
    </row>
    <row r="6" spans="1:25" s="66" customFormat="1" ht="12" hidden="1" customHeight="1" x14ac:dyDescent="0.2">
      <c r="A6" s="54" t="s">
        <v>61</v>
      </c>
      <c r="B6" s="55"/>
      <c r="C6" s="56"/>
      <c r="D6" s="56"/>
      <c r="E6" s="67">
        <v>0</v>
      </c>
      <c r="F6" s="68">
        <v>0</v>
      </c>
      <c r="G6" s="68">
        <v>0</v>
      </c>
      <c r="H6" s="68">
        <v>0.37</v>
      </c>
      <c r="I6" s="68">
        <v>0</v>
      </c>
      <c r="J6" s="68">
        <v>0</v>
      </c>
      <c r="K6" s="68">
        <v>0.18</v>
      </c>
      <c r="L6" s="69">
        <v>0</v>
      </c>
      <c r="M6" s="70" t="s">
        <v>62</v>
      </c>
      <c r="N6" s="71" t="s">
        <v>62</v>
      </c>
      <c r="O6" s="71" t="s">
        <v>62</v>
      </c>
      <c r="P6" s="72" t="s">
        <v>62</v>
      </c>
      <c r="Q6" s="73" t="s">
        <v>62</v>
      </c>
      <c r="R6" s="63"/>
      <c r="S6" s="64"/>
      <c r="T6" s="74"/>
      <c r="U6" s="75"/>
      <c r="V6" s="75"/>
      <c r="X6" s="75"/>
      <c r="Y6" s="75"/>
    </row>
    <row r="7" spans="1:25" s="82" customFormat="1" ht="12" hidden="1" customHeight="1" x14ac:dyDescent="0.2">
      <c r="A7" s="54" t="s">
        <v>63</v>
      </c>
      <c r="B7" s="76"/>
      <c r="C7" s="77"/>
      <c r="D7" s="77"/>
      <c r="E7" s="78">
        <v>0</v>
      </c>
      <c r="F7" s="79">
        <v>0.06</v>
      </c>
      <c r="G7" s="79">
        <v>0.12</v>
      </c>
      <c r="H7" s="79">
        <v>0.08</v>
      </c>
      <c r="I7" s="79">
        <v>0.08</v>
      </c>
      <c r="J7" s="79">
        <v>0.08</v>
      </c>
      <c r="K7" s="79">
        <v>0.08</v>
      </c>
      <c r="L7" s="80">
        <v>0.08</v>
      </c>
      <c r="M7" s="70">
        <v>0.33333333333333331</v>
      </c>
      <c r="N7" s="71">
        <v>0.16666666666666666</v>
      </c>
      <c r="O7" s="71">
        <v>0.16666666666666666</v>
      </c>
      <c r="P7" s="71">
        <v>0.16666666666666666</v>
      </c>
      <c r="Q7" s="73">
        <f>1-SUM(M7:P7)</f>
        <v>0.16666666666666674</v>
      </c>
      <c r="R7" s="81"/>
      <c r="S7" s="64"/>
      <c r="U7" s="83"/>
      <c r="V7" s="83"/>
      <c r="X7" s="83"/>
      <c r="Y7" s="83"/>
    </row>
    <row r="8" spans="1:25" s="82" customFormat="1" ht="12" hidden="1" customHeight="1" x14ac:dyDescent="0.2">
      <c r="A8" s="54" t="s">
        <v>64</v>
      </c>
      <c r="B8" s="76"/>
      <c r="C8" s="77"/>
      <c r="D8" s="77"/>
      <c r="E8" s="78">
        <v>0</v>
      </c>
      <c r="F8" s="79">
        <v>0</v>
      </c>
      <c r="G8" s="79">
        <v>0</v>
      </c>
      <c r="H8" s="79">
        <v>0.26</v>
      </c>
      <c r="I8" s="79">
        <v>0.08</v>
      </c>
      <c r="J8" s="79">
        <v>0.08</v>
      </c>
      <c r="K8" s="79">
        <v>0.08</v>
      </c>
      <c r="L8" s="80">
        <v>0.08</v>
      </c>
      <c r="M8" s="70" t="s">
        <v>62</v>
      </c>
      <c r="N8" s="71" t="s">
        <v>62</v>
      </c>
      <c r="O8" s="71" t="s">
        <v>62</v>
      </c>
      <c r="P8" s="72" t="s">
        <v>62</v>
      </c>
      <c r="Q8" s="73" t="s">
        <v>62</v>
      </c>
      <c r="R8" s="81"/>
      <c r="S8" s="64"/>
      <c r="U8" s="83"/>
      <c r="V8" s="83"/>
      <c r="X8" s="83"/>
      <c r="Y8" s="83"/>
    </row>
    <row r="9" spans="1:25" s="82" customFormat="1" ht="12" hidden="1" customHeight="1" x14ac:dyDescent="0.2">
      <c r="A9" s="54" t="s">
        <v>65</v>
      </c>
      <c r="B9" s="55"/>
      <c r="C9" s="77"/>
      <c r="D9" s="77"/>
      <c r="E9" s="84">
        <v>0</v>
      </c>
      <c r="F9" s="85">
        <v>0.05</v>
      </c>
      <c r="G9" s="85">
        <v>0.05</v>
      </c>
      <c r="H9" s="85">
        <v>0.09</v>
      </c>
      <c r="I9" s="85">
        <v>0.09</v>
      </c>
      <c r="J9" s="85">
        <v>0.09</v>
      </c>
      <c r="K9" s="85">
        <v>0.09</v>
      </c>
      <c r="L9" s="86">
        <v>0.09</v>
      </c>
      <c r="M9" s="87">
        <v>0.2</v>
      </c>
      <c r="N9" s="88">
        <v>0.19999999999999998</v>
      </c>
      <c r="O9" s="88">
        <v>0.19999999999999998</v>
      </c>
      <c r="P9" s="88">
        <v>0.19999999999999998</v>
      </c>
      <c r="Q9" s="89">
        <v>0.19999999999999998</v>
      </c>
      <c r="R9" s="63"/>
      <c r="S9" s="64"/>
      <c r="U9" s="75"/>
      <c r="V9" s="75"/>
      <c r="X9" s="75"/>
      <c r="Y9" s="75"/>
    </row>
    <row r="10" spans="1:25" s="94" customFormat="1" ht="12" hidden="1" customHeight="1" x14ac:dyDescent="0.2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54"/>
      <c r="M10" s="54"/>
      <c r="N10" s="54"/>
      <c r="O10" s="54"/>
      <c r="P10" s="54"/>
      <c r="Q10" s="92"/>
      <c r="R10" s="54"/>
      <c r="S10" s="93"/>
      <c r="T10" s="54"/>
    </row>
    <row r="11" spans="1:25" s="94" customFormat="1" ht="12" customHeight="1" x14ac:dyDescent="0.15">
      <c r="A11" s="95" t="s">
        <v>66</v>
      </c>
      <c r="B11" s="95"/>
      <c r="C11" s="96"/>
      <c r="D11" s="97"/>
      <c r="E11" s="98"/>
      <c r="F11" s="98"/>
      <c r="G11" s="98"/>
      <c r="H11" s="98"/>
      <c r="I11" s="98"/>
      <c r="J11" s="98"/>
      <c r="K11" s="98"/>
      <c r="L11" s="99"/>
      <c r="M11" s="99"/>
      <c r="N11" s="99"/>
      <c r="O11" s="99"/>
      <c r="P11" s="100"/>
      <c r="Q11" s="99"/>
      <c r="R11" s="100"/>
      <c r="S11" s="101"/>
      <c r="T11" s="100"/>
      <c r="U11" s="102"/>
      <c r="V11" s="46">
        <v>245.10000000000002</v>
      </c>
      <c r="X11" s="102" t="s">
        <v>54</v>
      </c>
      <c r="Y11" s="46">
        <v>272.13</v>
      </c>
    </row>
    <row r="12" spans="1:25" s="94" customFormat="1" ht="12" customHeight="1" x14ac:dyDescent="0.2">
      <c r="A12" s="95"/>
      <c r="B12" s="95" t="s">
        <v>67</v>
      </c>
      <c r="C12" s="96"/>
      <c r="D12" s="97"/>
      <c r="E12" s="98"/>
      <c r="F12" s="98"/>
      <c r="G12" s="98"/>
      <c r="H12" s="98"/>
      <c r="I12" s="98"/>
      <c r="J12" s="98"/>
      <c r="K12" s="98"/>
      <c r="L12" s="103"/>
      <c r="M12" s="103"/>
      <c r="N12" s="103"/>
      <c r="O12" s="103"/>
      <c r="P12" s="104"/>
      <c r="Q12" s="103"/>
      <c r="R12" s="104"/>
      <c r="S12" s="105"/>
      <c r="T12" s="104"/>
    </row>
    <row r="13" spans="1:25" s="94" customFormat="1" ht="12" hidden="1" customHeight="1" x14ac:dyDescent="0.2">
      <c r="A13" s="106"/>
      <c r="B13" s="106"/>
      <c r="C13" s="106"/>
      <c r="D13" s="107" t="s">
        <v>68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108">
        <v>0</v>
      </c>
      <c r="M13" s="109"/>
      <c r="N13" s="109"/>
      <c r="O13" s="109"/>
      <c r="P13" s="110"/>
      <c r="Q13" s="109"/>
      <c r="R13" s="111"/>
      <c r="S13" s="112">
        <f>SUM(E13:Q13)</f>
        <v>0</v>
      </c>
      <c r="T13" s="110"/>
      <c r="U13" s="111">
        <v>0</v>
      </c>
      <c r="V13" s="111">
        <f t="shared" ref="V13:V18" si="1">S13-U13</f>
        <v>0</v>
      </c>
      <c r="X13" s="111"/>
      <c r="Y13" s="111"/>
    </row>
    <row r="14" spans="1:25" s="119" customFormat="1" ht="12" hidden="1" customHeight="1" x14ac:dyDescent="0.2">
      <c r="A14" s="106"/>
      <c r="B14" s="106"/>
      <c r="C14" s="106"/>
      <c r="D14" s="107" t="s">
        <v>69</v>
      </c>
      <c r="E14" s="113">
        <v>0</v>
      </c>
      <c r="F14" s="113">
        <v>117811</v>
      </c>
      <c r="G14" s="113">
        <v>117811</v>
      </c>
      <c r="H14" s="98">
        <v>212060</v>
      </c>
      <c r="I14" s="113">
        <v>212060</v>
      </c>
      <c r="J14" s="113">
        <v>212060</v>
      </c>
      <c r="K14" s="98">
        <v>212060</v>
      </c>
      <c r="L14" s="114">
        <v>212060</v>
      </c>
      <c r="M14" s="115">
        <v>138187</v>
      </c>
      <c r="N14" s="115">
        <v>138187</v>
      </c>
      <c r="O14" s="115">
        <v>138187</v>
      </c>
      <c r="P14" s="116">
        <v>119719.55171348005</v>
      </c>
      <c r="Q14" s="115">
        <v>252787.86331001949</v>
      </c>
      <c r="R14" s="117"/>
      <c r="S14" s="112">
        <f>SUM(E14:Q14)</f>
        <v>2082990.4150234996</v>
      </c>
      <c r="T14" s="118"/>
      <c r="U14" s="111">
        <v>2234997.7704379996</v>
      </c>
      <c r="V14" s="111">
        <f t="shared" si="1"/>
        <v>-152007.35541449999</v>
      </c>
      <c r="W14" s="94"/>
      <c r="X14" s="111"/>
      <c r="Y14" s="111"/>
    </row>
    <row r="15" spans="1:25" s="119" customFormat="1" ht="12" customHeight="1" x14ac:dyDescent="0.2">
      <c r="A15" s="120"/>
      <c r="B15" s="120" t="s">
        <v>70</v>
      </c>
      <c r="C15" s="121">
        <v>8011</v>
      </c>
      <c r="D15" s="122" t="s">
        <v>60</v>
      </c>
      <c r="E15" s="98">
        <v>0</v>
      </c>
      <c r="F15" s="98">
        <v>117811</v>
      </c>
      <c r="G15" s="98">
        <v>117811</v>
      </c>
      <c r="H15" s="98">
        <v>212060</v>
      </c>
      <c r="I15" s="98">
        <v>212060</v>
      </c>
      <c r="J15" s="98">
        <v>212060</v>
      </c>
      <c r="K15" s="98">
        <v>212060</v>
      </c>
      <c r="L15" s="108">
        <v>212060</v>
      </c>
      <c r="M15" s="108">
        <v>138187</v>
      </c>
      <c r="N15" s="108">
        <v>138187</v>
      </c>
      <c r="O15" s="108">
        <v>138187</v>
      </c>
      <c r="P15" s="123">
        <f t="shared" ref="P15:Q15" si="2">SUM(P13:P14)</f>
        <v>119719.55171348005</v>
      </c>
      <c r="Q15" s="108">
        <f t="shared" si="2"/>
        <v>252787.86331001949</v>
      </c>
      <c r="R15" s="123"/>
      <c r="S15" s="124">
        <f>SUM(E15:Q15)</f>
        <v>2082990.4150234996</v>
      </c>
      <c r="T15" s="123"/>
      <c r="U15" s="125">
        <v>2234997.7704379996</v>
      </c>
      <c r="V15" s="125">
        <f t="shared" si="1"/>
        <v>-152007.35541449999</v>
      </c>
      <c r="W15" s="94"/>
      <c r="X15" s="125">
        <v>2066394.7565490003</v>
      </c>
      <c r="Y15" s="125">
        <f t="shared" ref="Y15:Y18" si="3">S15-X15</f>
        <v>16595.65847449936</v>
      </c>
    </row>
    <row r="16" spans="1:25" s="119" customFormat="1" ht="12" customHeight="1" x14ac:dyDescent="0.2">
      <c r="A16" s="120"/>
      <c r="B16" s="120" t="s">
        <v>70</v>
      </c>
      <c r="C16" s="121">
        <v>8012</v>
      </c>
      <c r="D16" s="126" t="s">
        <v>71</v>
      </c>
      <c r="E16" s="98">
        <v>0</v>
      </c>
      <c r="F16" s="98">
        <v>0</v>
      </c>
      <c r="G16" s="98">
        <v>0</v>
      </c>
      <c r="H16" s="98">
        <v>13775</v>
      </c>
      <c r="I16" s="98">
        <v>0</v>
      </c>
      <c r="J16" s="98">
        <v>0</v>
      </c>
      <c r="K16" s="98">
        <v>13775</v>
      </c>
      <c r="L16" s="108">
        <v>0</v>
      </c>
      <c r="M16" s="108">
        <v>7611</v>
      </c>
      <c r="N16" s="108">
        <v>0</v>
      </c>
      <c r="O16" s="108">
        <v>0</v>
      </c>
      <c r="P16" s="123">
        <v>0</v>
      </c>
      <c r="Q16" s="108">
        <v>13859.000000000007</v>
      </c>
      <c r="R16" s="123"/>
      <c r="S16" s="124">
        <f>SUM(E16:Q16)</f>
        <v>49020.000000000007</v>
      </c>
      <c r="T16" s="123"/>
      <c r="U16" s="125">
        <v>56050</v>
      </c>
      <c r="V16" s="125">
        <f t="shared" si="1"/>
        <v>-7029.9999999999927</v>
      </c>
      <c r="W16" s="94"/>
      <c r="X16" s="125">
        <v>55100</v>
      </c>
      <c r="Y16" s="125">
        <f t="shared" si="3"/>
        <v>-6079.9999999999927</v>
      </c>
    </row>
    <row r="17" spans="1:25" s="119" customFormat="1" ht="12" customHeight="1" x14ac:dyDescent="0.2">
      <c r="A17" s="120"/>
      <c r="B17" s="120" t="s">
        <v>70</v>
      </c>
      <c r="C17" s="121">
        <v>8019</v>
      </c>
      <c r="D17" s="122" t="s">
        <v>72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08">
        <v>0</v>
      </c>
      <c r="M17" s="108">
        <v>-3732</v>
      </c>
      <c r="N17" s="108">
        <v>14930</v>
      </c>
      <c r="O17" s="108">
        <v>-3732</v>
      </c>
      <c r="P17" s="123">
        <v>0</v>
      </c>
      <c r="Q17" s="127">
        <v>0</v>
      </c>
      <c r="R17" s="123"/>
      <c r="S17" s="124">
        <f t="shared" ref="S17:S18" si="4">SUM(E17:Q17)</f>
        <v>7466</v>
      </c>
      <c r="T17" s="123"/>
      <c r="U17" s="125">
        <v>0</v>
      </c>
      <c r="V17" s="125">
        <f t="shared" si="1"/>
        <v>7466</v>
      </c>
      <c r="W17" s="94"/>
      <c r="X17" s="125">
        <v>3494</v>
      </c>
      <c r="Y17" s="125">
        <f t="shared" si="3"/>
        <v>3972</v>
      </c>
    </row>
    <row r="18" spans="1:25" s="119" customFormat="1" ht="12" customHeight="1" x14ac:dyDescent="0.2">
      <c r="A18" s="120"/>
      <c r="B18" s="120" t="s">
        <v>70</v>
      </c>
      <c r="C18" s="121">
        <v>8096</v>
      </c>
      <c r="D18" s="128" t="s">
        <v>63</v>
      </c>
      <c r="E18" s="98">
        <v>48484</v>
      </c>
      <c r="F18" s="98">
        <v>96968</v>
      </c>
      <c r="G18" s="98">
        <v>64645</v>
      </c>
      <c r="H18" s="98">
        <v>64645</v>
      </c>
      <c r="I18" s="98">
        <v>64645</v>
      </c>
      <c r="J18" s="98">
        <v>64645</v>
      </c>
      <c r="K18" s="98">
        <v>64645</v>
      </c>
      <c r="L18" s="108">
        <v>113129</v>
      </c>
      <c r="M18" s="108">
        <v>-8468</v>
      </c>
      <c r="N18" s="108">
        <v>50802</v>
      </c>
      <c r="O18" s="108">
        <v>50802</v>
      </c>
      <c r="P18" s="123">
        <v>23989.843200000003</v>
      </c>
      <c r="Q18" s="127">
        <v>59424.713800000143</v>
      </c>
      <c r="R18" s="123"/>
      <c r="S18" s="124">
        <f t="shared" si="4"/>
        <v>758356.55700000015</v>
      </c>
      <c r="T18" s="123"/>
      <c r="U18" s="125">
        <v>819125.91</v>
      </c>
      <c r="V18" s="125">
        <f t="shared" si="1"/>
        <v>-60769.352999999886</v>
      </c>
      <c r="W18" s="94"/>
      <c r="X18" s="125">
        <v>805242.42</v>
      </c>
      <c r="Y18" s="125">
        <f t="shared" si="3"/>
        <v>-46885.862999999896</v>
      </c>
    </row>
    <row r="19" spans="1:25" s="94" customFormat="1" ht="12" customHeight="1" x14ac:dyDescent="0.2">
      <c r="A19" s="95"/>
      <c r="B19" s="95" t="s">
        <v>70</v>
      </c>
      <c r="C19" s="121"/>
      <c r="D19" s="128"/>
      <c r="E19" s="129">
        <f>SUM(E15:E18)</f>
        <v>48484</v>
      </c>
      <c r="F19" s="129">
        <f t="shared" ref="F19:Q19" si="5">SUM(F15:F18)</f>
        <v>214779</v>
      </c>
      <c r="G19" s="129">
        <f t="shared" si="5"/>
        <v>182456</v>
      </c>
      <c r="H19" s="129">
        <f t="shared" si="5"/>
        <v>290480</v>
      </c>
      <c r="I19" s="129">
        <f t="shared" si="5"/>
        <v>276705</v>
      </c>
      <c r="J19" s="129">
        <f t="shared" si="5"/>
        <v>276705</v>
      </c>
      <c r="K19" s="129">
        <f t="shared" si="5"/>
        <v>290480</v>
      </c>
      <c r="L19" s="130">
        <f t="shared" si="5"/>
        <v>325189</v>
      </c>
      <c r="M19" s="130">
        <f t="shared" si="5"/>
        <v>133598</v>
      </c>
      <c r="N19" s="130">
        <f t="shared" si="5"/>
        <v>203919</v>
      </c>
      <c r="O19" s="130">
        <f t="shared" si="5"/>
        <v>185257</v>
      </c>
      <c r="P19" s="131">
        <f t="shared" si="5"/>
        <v>143709.39491348004</v>
      </c>
      <c r="Q19" s="130">
        <f t="shared" si="5"/>
        <v>326071.57711001963</v>
      </c>
      <c r="R19" s="104"/>
      <c r="S19" s="132">
        <f>SUM(S15:S18)</f>
        <v>2897832.9720234997</v>
      </c>
      <c r="T19" s="104"/>
      <c r="U19" s="133">
        <v>3110173.6804379998</v>
      </c>
      <c r="V19" s="133">
        <f>SUM(V15:V18)</f>
        <v>-212340.70841449988</v>
      </c>
      <c r="X19" s="133">
        <f>SUM(X15:X18)</f>
        <v>2930231.1765490002</v>
      </c>
      <c r="Y19" s="133">
        <f>SUM(Y15:Y18)</f>
        <v>-32398.204525500529</v>
      </c>
    </row>
    <row r="20" spans="1:25" s="94" customFormat="1" ht="12.6" customHeight="1" x14ac:dyDescent="0.2">
      <c r="A20" s="90"/>
      <c r="B20" s="90" t="s">
        <v>73</v>
      </c>
      <c r="C20" s="90"/>
      <c r="D20" s="90"/>
      <c r="E20" s="134"/>
      <c r="F20" s="134"/>
      <c r="G20" s="134"/>
      <c r="H20" s="134"/>
      <c r="I20" s="98"/>
      <c r="J20" s="98"/>
      <c r="K20" s="98"/>
      <c r="L20" s="135"/>
      <c r="M20" s="135"/>
      <c r="N20" s="135"/>
      <c r="O20" s="135"/>
      <c r="P20" s="91"/>
      <c r="Q20" s="135"/>
      <c r="R20" s="91"/>
      <c r="S20" s="136"/>
      <c r="T20" s="91"/>
      <c r="U20" s="91"/>
      <c r="V20" s="91"/>
      <c r="X20" s="91"/>
      <c r="Y20" s="91"/>
    </row>
    <row r="21" spans="1:25" s="94" customFormat="1" ht="12" customHeight="1" x14ac:dyDescent="0.2">
      <c r="A21" s="90"/>
      <c r="B21" s="90" t="s">
        <v>70</v>
      </c>
      <c r="C21" s="121">
        <v>8181</v>
      </c>
      <c r="D21" s="137" t="s">
        <v>74</v>
      </c>
      <c r="E21" s="98">
        <v>4418</v>
      </c>
      <c r="F21" s="98">
        <v>8837</v>
      </c>
      <c r="G21" s="98">
        <v>5891</v>
      </c>
      <c r="H21" s="98">
        <v>5891</v>
      </c>
      <c r="I21" s="98">
        <v>5892</v>
      </c>
      <c r="J21" s="98">
        <v>5891</v>
      </c>
      <c r="K21" s="98">
        <v>5891</v>
      </c>
      <c r="L21" s="108">
        <v>10310</v>
      </c>
      <c r="M21" s="108">
        <v>-1605</v>
      </c>
      <c r="N21" s="108">
        <v>4556</v>
      </c>
      <c r="O21" s="108">
        <v>4556</v>
      </c>
      <c r="P21" s="91"/>
      <c r="Q21" s="135">
        <v>-9721.2209999999977</v>
      </c>
      <c r="R21" s="123"/>
      <c r="S21" s="124">
        <f t="shared" ref="S21:S30" si="6">SUM(E21:Q21)</f>
        <v>50806.779000000002</v>
      </c>
      <c r="T21" s="123"/>
      <c r="U21" s="125">
        <v>58093.022499999999</v>
      </c>
      <c r="V21" s="125">
        <f t="shared" ref="V21:V46" si="7">S21-U21</f>
        <v>-7286.2434999999969</v>
      </c>
      <c r="X21" s="125">
        <v>57108.394999999997</v>
      </c>
      <c r="Y21" s="125">
        <f t="shared" ref="Y21:Y30" si="8">S21-X21</f>
        <v>-6301.6159999999945</v>
      </c>
    </row>
    <row r="22" spans="1:25" s="94" customFormat="1" ht="12" hidden="1" customHeight="1" x14ac:dyDescent="0.2">
      <c r="A22" s="90"/>
      <c r="B22" s="90" t="s">
        <v>70</v>
      </c>
      <c r="C22" s="121">
        <v>8182</v>
      </c>
      <c r="D22" s="137" t="s">
        <v>75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108">
        <v>0</v>
      </c>
      <c r="M22" s="108">
        <v>0</v>
      </c>
      <c r="N22" s="108">
        <v>0</v>
      </c>
      <c r="O22" s="108">
        <v>0</v>
      </c>
      <c r="P22" s="123">
        <v>0</v>
      </c>
      <c r="Q22" s="135">
        <v>0</v>
      </c>
      <c r="R22" s="123"/>
      <c r="S22" s="124">
        <f t="shared" si="6"/>
        <v>0</v>
      </c>
      <c r="T22" s="123"/>
      <c r="U22" s="125">
        <v>0</v>
      </c>
      <c r="V22" s="125">
        <f t="shared" si="7"/>
        <v>0</v>
      </c>
      <c r="X22" s="125">
        <v>0</v>
      </c>
      <c r="Y22" s="125">
        <f t="shared" si="8"/>
        <v>0</v>
      </c>
    </row>
    <row r="23" spans="1:25" s="94" customFormat="1" ht="12" customHeight="1" x14ac:dyDescent="0.2">
      <c r="A23" s="90"/>
      <c r="B23" s="90" t="s">
        <v>70</v>
      </c>
      <c r="C23" s="121">
        <v>8220</v>
      </c>
      <c r="D23" s="128" t="s">
        <v>76</v>
      </c>
      <c r="E23" s="98">
        <v>0</v>
      </c>
      <c r="F23" s="98">
        <v>0</v>
      </c>
      <c r="G23" s="98">
        <v>0</v>
      </c>
      <c r="H23" s="98">
        <v>42353.37</v>
      </c>
      <c r="I23" s="98">
        <v>41563.24</v>
      </c>
      <c r="J23" s="98">
        <v>1579</v>
      </c>
      <c r="K23" s="98">
        <v>31626.36</v>
      </c>
      <c r="L23" s="108">
        <v>20138.75</v>
      </c>
      <c r="M23" s="108">
        <v>22703.46</v>
      </c>
      <c r="N23" s="108">
        <v>10676.36</v>
      </c>
      <c r="O23" s="108">
        <v>21434.639999999999</v>
      </c>
      <c r="P23" s="91">
        <v>8398.2389071875004</v>
      </c>
      <c r="Q23" s="135">
        <f>P23</f>
        <v>8398.2389071875004</v>
      </c>
      <c r="R23" s="91"/>
      <c r="S23" s="124">
        <f>SUM(E23:Q23)</f>
        <v>208871.65781437501</v>
      </c>
      <c r="T23" s="91"/>
      <c r="U23" s="125">
        <v>95675.773593749997</v>
      </c>
      <c r="V23" s="125">
        <f t="shared" si="7"/>
        <v>113195.88422062501</v>
      </c>
      <c r="X23" s="125">
        <v>87972.866130874987</v>
      </c>
      <c r="Y23" s="125">
        <f t="shared" si="8"/>
        <v>120898.79168350002</v>
      </c>
    </row>
    <row r="24" spans="1:25" s="94" customFormat="1" ht="12" customHeight="1" x14ac:dyDescent="0.2">
      <c r="A24" s="90"/>
      <c r="B24" s="90" t="s">
        <v>70</v>
      </c>
      <c r="C24" s="121">
        <v>8290</v>
      </c>
      <c r="D24" s="128" t="s">
        <v>77</v>
      </c>
      <c r="E24" s="98">
        <v>0</v>
      </c>
      <c r="F24" s="98">
        <v>0</v>
      </c>
      <c r="G24" s="98">
        <v>30206</v>
      </c>
      <c r="H24" s="98">
        <v>0</v>
      </c>
      <c r="I24" s="98">
        <v>0</v>
      </c>
      <c r="J24" s="98">
        <v>89198</v>
      </c>
      <c r="K24" s="98">
        <v>0</v>
      </c>
      <c r="L24" s="108">
        <v>0</v>
      </c>
      <c r="M24" s="108">
        <v>0</v>
      </c>
      <c r="N24" s="108">
        <v>0</v>
      </c>
      <c r="O24" s="108">
        <v>0</v>
      </c>
      <c r="P24" s="91">
        <v>0</v>
      </c>
      <c r="Q24" s="135"/>
      <c r="R24" s="138"/>
      <c r="S24" s="124">
        <f t="shared" si="6"/>
        <v>119404</v>
      </c>
      <c r="T24" s="138"/>
      <c r="U24" s="125">
        <v>103620</v>
      </c>
      <c r="V24" s="125">
        <f t="shared" si="7"/>
        <v>15784</v>
      </c>
      <c r="X24" s="125">
        <v>103620</v>
      </c>
      <c r="Y24" s="125">
        <f t="shared" si="8"/>
        <v>15784</v>
      </c>
    </row>
    <row r="25" spans="1:25" s="94" customFormat="1" ht="12" customHeight="1" x14ac:dyDescent="0.2">
      <c r="A25" s="90"/>
      <c r="B25" s="90" t="s">
        <v>70</v>
      </c>
      <c r="C25" s="121">
        <v>8291</v>
      </c>
      <c r="D25" s="128" t="s">
        <v>78</v>
      </c>
      <c r="E25" s="98">
        <v>0</v>
      </c>
      <c r="F25" s="98">
        <v>0</v>
      </c>
      <c r="G25" s="98">
        <v>0</v>
      </c>
      <c r="H25" s="98">
        <v>0</v>
      </c>
      <c r="I25" s="98">
        <v>3735</v>
      </c>
      <c r="J25" s="98">
        <v>0</v>
      </c>
      <c r="K25" s="98">
        <v>3739</v>
      </c>
      <c r="L25" s="108">
        <v>0</v>
      </c>
      <c r="M25" s="108">
        <v>0</v>
      </c>
      <c r="N25" s="108">
        <v>0</v>
      </c>
      <c r="O25" s="108">
        <v>0</v>
      </c>
      <c r="P25" s="91">
        <v>0</v>
      </c>
      <c r="Q25" s="135">
        <v>1653</v>
      </c>
      <c r="R25" s="91"/>
      <c r="S25" s="124">
        <f t="shared" si="6"/>
        <v>9127</v>
      </c>
      <c r="T25" s="91"/>
      <c r="U25" s="125">
        <v>9127</v>
      </c>
      <c r="V25" s="125">
        <f t="shared" si="7"/>
        <v>0</v>
      </c>
      <c r="X25" s="125">
        <v>9127</v>
      </c>
      <c r="Y25" s="125">
        <f t="shared" si="8"/>
        <v>0</v>
      </c>
    </row>
    <row r="26" spans="1:25" s="94" customFormat="1" ht="12" hidden="1" customHeight="1" x14ac:dyDescent="0.2">
      <c r="A26" s="90"/>
      <c r="B26" s="90" t="s">
        <v>70</v>
      </c>
      <c r="C26" s="121">
        <v>8293</v>
      </c>
      <c r="D26" s="128" t="s">
        <v>79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35">
        <v>0</v>
      </c>
      <c r="M26" s="135">
        <v>0</v>
      </c>
      <c r="N26" s="135">
        <v>0</v>
      </c>
      <c r="O26" s="135">
        <v>0</v>
      </c>
      <c r="P26" s="91">
        <v>0</v>
      </c>
      <c r="Q26" s="135">
        <v>0</v>
      </c>
      <c r="R26" s="91"/>
      <c r="S26" s="124">
        <f t="shared" si="6"/>
        <v>0</v>
      </c>
      <c r="T26" s="91"/>
      <c r="U26" s="125">
        <v>0</v>
      </c>
      <c r="V26" s="125">
        <f t="shared" si="7"/>
        <v>0</v>
      </c>
      <c r="X26" s="125">
        <v>0</v>
      </c>
      <c r="Y26" s="125">
        <f t="shared" si="8"/>
        <v>0</v>
      </c>
    </row>
    <row r="27" spans="1:25" s="94" customFormat="1" ht="12" hidden="1" customHeight="1" x14ac:dyDescent="0.2">
      <c r="A27" s="90"/>
      <c r="B27" s="90" t="s">
        <v>70</v>
      </c>
      <c r="C27" s="121">
        <v>8294</v>
      </c>
      <c r="D27" s="128" t="s">
        <v>80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35">
        <v>0</v>
      </c>
      <c r="M27" s="135">
        <v>0</v>
      </c>
      <c r="N27" s="135">
        <v>0</v>
      </c>
      <c r="O27" s="135">
        <v>0</v>
      </c>
      <c r="P27" s="91">
        <v>0</v>
      </c>
      <c r="Q27" s="135">
        <v>0</v>
      </c>
      <c r="R27" s="91"/>
      <c r="S27" s="124">
        <f t="shared" si="6"/>
        <v>0</v>
      </c>
      <c r="T27" s="91"/>
      <c r="U27" s="125">
        <v>0</v>
      </c>
      <c r="V27" s="125">
        <f t="shared" si="7"/>
        <v>0</v>
      </c>
      <c r="X27" s="125">
        <v>0</v>
      </c>
      <c r="Y27" s="125">
        <f t="shared" si="8"/>
        <v>0</v>
      </c>
    </row>
    <row r="28" spans="1:25" s="94" customFormat="1" ht="12" hidden="1" customHeight="1" x14ac:dyDescent="0.2">
      <c r="A28" s="90"/>
      <c r="B28" s="90" t="s">
        <v>70</v>
      </c>
      <c r="C28" s="121">
        <v>8295</v>
      </c>
      <c r="D28" s="128" t="s">
        <v>81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35">
        <v>0</v>
      </c>
      <c r="M28" s="135">
        <v>0</v>
      </c>
      <c r="N28" s="135">
        <v>0</v>
      </c>
      <c r="O28" s="135">
        <v>0</v>
      </c>
      <c r="P28" s="91">
        <v>0</v>
      </c>
      <c r="Q28" s="135">
        <v>0</v>
      </c>
      <c r="R28" s="91"/>
      <c r="S28" s="124">
        <f t="shared" ref="S28" si="9">SUM(E28:Q28)</f>
        <v>0</v>
      </c>
      <c r="T28" s="91"/>
      <c r="U28" s="125">
        <v>0</v>
      </c>
      <c r="V28" s="125">
        <f t="shared" si="7"/>
        <v>0</v>
      </c>
      <c r="X28" s="125">
        <v>0</v>
      </c>
      <c r="Y28" s="125">
        <f t="shared" si="8"/>
        <v>0</v>
      </c>
    </row>
    <row r="29" spans="1:25" s="94" customFormat="1" ht="12" customHeight="1" x14ac:dyDescent="0.2">
      <c r="A29" s="90"/>
      <c r="B29" s="90" t="s">
        <v>70</v>
      </c>
      <c r="C29" s="121">
        <v>8296</v>
      </c>
      <c r="D29" s="128" t="s">
        <v>82</v>
      </c>
      <c r="E29" s="98">
        <v>0</v>
      </c>
      <c r="F29" s="98">
        <v>0</v>
      </c>
      <c r="G29" s="98">
        <v>32015</v>
      </c>
      <c r="H29" s="98">
        <v>2508</v>
      </c>
      <c r="I29" s="98">
        <v>8542.83</v>
      </c>
      <c r="J29" s="98">
        <v>0</v>
      </c>
      <c r="K29" s="98">
        <v>121150</v>
      </c>
      <c r="L29" s="108">
        <v>0</v>
      </c>
      <c r="M29" s="108">
        <v>0</v>
      </c>
      <c r="N29" s="108">
        <v>212144</v>
      </c>
      <c r="O29" s="108">
        <v>4447.62</v>
      </c>
      <c r="P29" s="123">
        <v>0</v>
      </c>
      <c r="Q29" s="135">
        <v>-39738</v>
      </c>
      <c r="R29" s="91"/>
      <c r="S29" s="124">
        <f t="shared" si="6"/>
        <v>341069.45</v>
      </c>
      <c r="T29" s="91"/>
      <c r="U29" s="125">
        <v>1059219</v>
      </c>
      <c r="V29" s="125">
        <f t="shared" si="7"/>
        <v>-718149.55</v>
      </c>
      <c r="X29" s="125">
        <v>336160</v>
      </c>
      <c r="Y29" s="125">
        <f t="shared" si="8"/>
        <v>4909.4500000000116</v>
      </c>
    </row>
    <row r="30" spans="1:25" s="94" customFormat="1" ht="12" customHeight="1" x14ac:dyDescent="0.2">
      <c r="A30" s="90"/>
      <c r="B30" s="90"/>
      <c r="C30" s="121">
        <v>8299</v>
      </c>
      <c r="D30" s="128" t="s">
        <v>83</v>
      </c>
      <c r="E30" s="98">
        <v>0</v>
      </c>
      <c r="F30" s="98">
        <v>1110</v>
      </c>
      <c r="G30" s="98">
        <v>0</v>
      </c>
      <c r="H30" s="98">
        <v>0</v>
      </c>
      <c r="I30" s="98">
        <v>0</v>
      </c>
      <c r="J30" s="98">
        <v>0</v>
      </c>
      <c r="K30" s="98">
        <v>8636.91</v>
      </c>
      <c r="L30" s="108">
        <v>0</v>
      </c>
      <c r="M30" s="108">
        <v>0</v>
      </c>
      <c r="N30" s="108">
        <v>-4745</v>
      </c>
      <c r="O30" s="108">
        <v>0</v>
      </c>
      <c r="P30" s="123">
        <v>0</v>
      </c>
      <c r="Q30" s="135">
        <v>0</v>
      </c>
      <c r="R30" s="91"/>
      <c r="S30" s="124">
        <f t="shared" si="6"/>
        <v>5001.91</v>
      </c>
      <c r="T30" s="91"/>
      <c r="U30" s="125">
        <v>0</v>
      </c>
      <c r="V30" s="125">
        <f t="shared" si="7"/>
        <v>5001.91</v>
      </c>
      <c r="X30" s="125">
        <v>4391.16</v>
      </c>
      <c r="Y30" s="125">
        <f t="shared" si="8"/>
        <v>610.75</v>
      </c>
    </row>
    <row r="31" spans="1:25" s="119" customFormat="1" ht="12" customHeight="1" x14ac:dyDescent="0.2">
      <c r="A31" s="120"/>
      <c r="B31" s="120" t="s">
        <v>70</v>
      </c>
      <c r="C31" s="120"/>
      <c r="D31" s="139"/>
      <c r="E31" s="140">
        <f>SUM(E21:E30)</f>
        <v>4418</v>
      </c>
      <c r="F31" s="140">
        <f t="shared" ref="F31:P31" si="10">SUM(F21:F30)</f>
        <v>9947</v>
      </c>
      <c r="G31" s="140">
        <f t="shared" si="10"/>
        <v>68112</v>
      </c>
      <c r="H31" s="140">
        <f t="shared" si="10"/>
        <v>50752.37</v>
      </c>
      <c r="I31" s="140">
        <f t="shared" si="10"/>
        <v>59733.07</v>
      </c>
      <c r="J31" s="140">
        <f t="shared" si="10"/>
        <v>96668</v>
      </c>
      <c r="K31" s="140">
        <f t="shared" si="10"/>
        <v>171043.27</v>
      </c>
      <c r="L31" s="141">
        <f t="shared" si="10"/>
        <v>30448.75</v>
      </c>
      <c r="M31" s="141">
        <f t="shared" si="10"/>
        <v>21098.46</v>
      </c>
      <c r="N31" s="141">
        <f t="shared" si="10"/>
        <v>222631.36</v>
      </c>
      <c r="O31" s="141">
        <f t="shared" si="10"/>
        <v>30438.26</v>
      </c>
      <c r="P31" s="142">
        <f t="shared" si="10"/>
        <v>8398.2389071875004</v>
      </c>
      <c r="Q31" s="141">
        <f>SUM(Q21:Q30)</f>
        <v>-39407.982092812497</v>
      </c>
      <c r="R31" s="123"/>
      <c r="S31" s="143">
        <f>SUM(S21:S30)</f>
        <v>734280.79681437497</v>
      </c>
      <c r="T31" s="123"/>
      <c r="U31" s="144">
        <v>1325734.79609375</v>
      </c>
      <c r="V31" s="144">
        <f>SUM(V21:V30)</f>
        <v>-591453.99927937496</v>
      </c>
      <c r="W31" s="94"/>
      <c r="X31" s="144">
        <f>SUM(X21:X30)</f>
        <v>598379.42113087501</v>
      </c>
      <c r="Y31" s="144">
        <f>SUM(Y21:Y30)</f>
        <v>135901.37568350002</v>
      </c>
    </row>
    <row r="32" spans="1:25" s="94" customFormat="1" ht="12" customHeight="1" x14ac:dyDescent="0.2">
      <c r="A32" s="90"/>
      <c r="B32" s="95" t="s">
        <v>84</v>
      </c>
      <c r="C32" s="90"/>
      <c r="D32" s="90"/>
      <c r="E32" s="98"/>
      <c r="F32" s="98"/>
      <c r="G32" s="98"/>
      <c r="H32" s="98"/>
      <c r="I32" s="98"/>
      <c r="J32" s="98"/>
      <c r="K32" s="98"/>
      <c r="L32" s="103"/>
      <c r="M32" s="103"/>
      <c r="N32" s="103"/>
      <c r="O32" s="103"/>
      <c r="P32" s="104"/>
      <c r="Q32" s="103"/>
      <c r="R32" s="104"/>
      <c r="S32" s="105"/>
      <c r="T32" s="104"/>
      <c r="U32" s="145"/>
      <c r="V32" s="145"/>
      <c r="X32" s="145"/>
      <c r="Y32" s="145"/>
    </row>
    <row r="33" spans="1:25" s="94" customFormat="1" ht="12" customHeight="1" x14ac:dyDescent="0.2">
      <c r="A33" s="90"/>
      <c r="B33" s="90" t="s">
        <v>70</v>
      </c>
      <c r="C33" s="121">
        <v>8311</v>
      </c>
      <c r="D33" s="137" t="s">
        <v>85</v>
      </c>
      <c r="E33" s="98">
        <v>11388</v>
      </c>
      <c r="F33" s="98">
        <v>22775</v>
      </c>
      <c r="G33" s="98">
        <v>15183</v>
      </c>
      <c r="H33" s="98">
        <v>21543</v>
      </c>
      <c r="I33" s="98">
        <v>16680</v>
      </c>
      <c r="J33" s="98">
        <v>16680</v>
      </c>
      <c r="K33" s="98">
        <v>16680</v>
      </c>
      <c r="L33" s="108">
        <v>29190</v>
      </c>
      <c r="M33" s="108">
        <v>-4547</v>
      </c>
      <c r="N33" s="108">
        <v>12899</v>
      </c>
      <c r="O33" s="108">
        <v>12899</v>
      </c>
      <c r="P33" s="91">
        <v>766.89120000000105</v>
      </c>
      <c r="Q33" s="135">
        <v>-11265.506200000003</v>
      </c>
      <c r="R33" s="123"/>
      <c r="S33" s="124">
        <f t="shared" ref="S33:S39" si="11">SUM(E33:Q33)</f>
        <v>160871.38500000001</v>
      </c>
      <c r="T33" s="123"/>
      <c r="U33" s="125">
        <v>183942.08749999999</v>
      </c>
      <c r="V33" s="125">
        <f t="shared" si="7"/>
        <v>-23070.702499999985</v>
      </c>
      <c r="X33" s="125">
        <v>180824.42500000002</v>
      </c>
      <c r="Y33" s="125">
        <f t="shared" ref="Y33:Y39" si="12">S33-X33</f>
        <v>-19953.040000000008</v>
      </c>
    </row>
    <row r="34" spans="1:25" s="94" customFormat="1" ht="12" customHeight="1" x14ac:dyDescent="0.2">
      <c r="A34" s="90"/>
      <c r="B34" s="90" t="s">
        <v>70</v>
      </c>
      <c r="C34" s="121">
        <v>8520</v>
      </c>
      <c r="D34" s="128" t="s">
        <v>86</v>
      </c>
      <c r="E34" s="98">
        <v>0</v>
      </c>
      <c r="F34" s="98">
        <v>0</v>
      </c>
      <c r="G34" s="98">
        <v>0</v>
      </c>
      <c r="H34" s="98">
        <v>3051.27</v>
      </c>
      <c r="I34" s="98">
        <v>2847.59</v>
      </c>
      <c r="J34" s="98">
        <v>0</v>
      </c>
      <c r="K34" s="98">
        <v>2203.2199999999998</v>
      </c>
      <c r="L34" s="108">
        <v>1245.97</v>
      </c>
      <c r="M34" s="108">
        <v>3082.41</v>
      </c>
      <c r="N34" s="108">
        <v>34896.57</v>
      </c>
      <c r="O34" s="108">
        <v>1327.8</v>
      </c>
      <c r="P34" s="91">
        <v>794.91541319399994</v>
      </c>
      <c r="Q34" s="135">
        <f>P34*2</f>
        <v>1589.8308263879999</v>
      </c>
      <c r="R34" s="91"/>
      <c r="S34" s="124">
        <f t="shared" si="11"/>
        <v>51039.576239582006</v>
      </c>
      <c r="T34" s="91"/>
      <c r="U34" s="125">
        <v>9055.9637489999986</v>
      </c>
      <c r="V34" s="125">
        <f t="shared" si="7"/>
        <v>41983.612490582003</v>
      </c>
      <c r="X34" s="125">
        <v>14923.739803882399</v>
      </c>
      <c r="Y34" s="125">
        <f t="shared" si="12"/>
        <v>36115.836435699603</v>
      </c>
    </row>
    <row r="35" spans="1:25" s="94" customFormat="1" ht="12" customHeight="1" x14ac:dyDescent="0.2">
      <c r="A35" s="90"/>
      <c r="B35" s="90" t="s">
        <v>70</v>
      </c>
      <c r="C35" s="121">
        <v>8545</v>
      </c>
      <c r="D35" s="128" t="s">
        <v>87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114317.16</v>
      </c>
      <c r="L35" s="108">
        <v>0</v>
      </c>
      <c r="M35" s="108">
        <v>0</v>
      </c>
      <c r="N35" s="108">
        <v>0</v>
      </c>
      <c r="O35" s="108">
        <v>57158.58</v>
      </c>
      <c r="P35" s="91">
        <v>0</v>
      </c>
      <c r="Q35" s="146">
        <v>95658.750000000058</v>
      </c>
      <c r="R35" s="91"/>
      <c r="S35" s="124">
        <f t="shared" si="11"/>
        <v>267134.49000000005</v>
      </c>
      <c r="T35" s="91"/>
      <c r="U35" s="125">
        <v>269881.71299999999</v>
      </c>
      <c r="V35" s="125">
        <f t="shared" si="7"/>
        <v>-2747.2229999999399</v>
      </c>
      <c r="X35" s="125">
        <v>197359.092</v>
      </c>
      <c r="Y35" s="125">
        <f t="shared" si="12"/>
        <v>69775.398000000045</v>
      </c>
    </row>
    <row r="36" spans="1:25" s="94" customFormat="1" ht="12" customHeight="1" x14ac:dyDescent="0.2">
      <c r="A36" s="90"/>
      <c r="B36" s="90" t="s">
        <v>70</v>
      </c>
      <c r="C36" s="121">
        <v>8550</v>
      </c>
      <c r="D36" s="128" t="s">
        <v>88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4741</v>
      </c>
      <c r="K36" s="98">
        <v>0</v>
      </c>
      <c r="L36" s="108">
        <v>0</v>
      </c>
      <c r="M36" s="108">
        <v>0</v>
      </c>
      <c r="N36" s="108">
        <v>0</v>
      </c>
      <c r="O36" s="108">
        <v>0</v>
      </c>
      <c r="P36" s="91">
        <v>0</v>
      </c>
      <c r="Q36" s="146">
        <v>0</v>
      </c>
      <c r="R36" s="91"/>
      <c r="S36" s="124">
        <f t="shared" si="11"/>
        <v>4741</v>
      </c>
      <c r="T36" s="91"/>
      <c r="U36" s="125">
        <v>4588.1117999999997</v>
      </c>
      <c r="V36" s="125">
        <f t="shared" si="7"/>
        <v>152.88820000000032</v>
      </c>
      <c r="X36" s="125">
        <v>4588</v>
      </c>
      <c r="Y36" s="125">
        <f t="shared" si="12"/>
        <v>153</v>
      </c>
    </row>
    <row r="37" spans="1:25" s="94" customFormat="1" ht="12" customHeight="1" x14ac:dyDescent="0.2">
      <c r="A37" s="120"/>
      <c r="B37" s="120" t="s">
        <v>70</v>
      </c>
      <c r="C37" s="121">
        <v>8560</v>
      </c>
      <c r="D37" s="128" t="s">
        <v>89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20372.78</v>
      </c>
      <c r="L37" s="108">
        <v>0</v>
      </c>
      <c r="M37" s="108">
        <v>0</v>
      </c>
      <c r="N37" s="108">
        <v>17947.68</v>
      </c>
      <c r="O37" s="108">
        <v>0</v>
      </c>
      <c r="P37" s="91">
        <v>0</v>
      </c>
      <c r="Q37" s="135">
        <v>12415.240000000005</v>
      </c>
      <c r="R37" s="91"/>
      <c r="S37" s="124">
        <f t="shared" si="11"/>
        <v>50735.700000000004</v>
      </c>
      <c r="T37" s="91"/>
      <c r="U37" s="125">
        <v>58011.75</v>
      </c>
      <c r="V37" s="125">
        <f t="shared" si="7"/>
        <v>-7276.0499999999956</v>
      </c>
      <c r="X37" s="125">
        <v>48474.224999999999</v>
      </c>
      <c r="Y37" s="125">
        <f t="shared" si="12"/>
        <v>2261.4750000000058</v>
      </c>
    </row>
    <row r="38" spans="1:25" s="94" customFormat="1" ht="12" customHeight="1" x14ac:dyDescent="0.2">
      <c r="A38" s="120"/>
      <c r="B38" s="120" t="s">
        <v>70</v>
      </c>
      <c r="C38" s="121">
        <v>8598</v>
      </c>
      <c r="D38" s="128" t="s">
        <v>90</v>
      </c>
      <c r="E38" s="98">
        <v>0</v>
      </c>
      <c r="F38" s="98">
        <v>0</v>
      </c>
      <c r="G38" s="98">
        <v>1312.19</v>
      </c>
      <c r="H38" s="98">
        <v>0</v>
      </c>
      <c r="I38" s="108">
        <v>17368.22</v>
      </c>
      <c r="J38" s="98">
        <v>0</v>
      </c>
      <c r="K38" s="98">
        <v>0</v>
      </c>
      <c r="L38" s="108">
        <v>1851.55</v>
      </c>
      <c r="M38" s="108">
        <v>0</v>
      </c>
      <c r="N38" s="108">
        <v>0</v>
      </c>
      <c r="O38" s="108">
        <v>0</v>
      </c>
      <c r="P38" s="123">
        <v>0</v>
      </c>
      <c r="Q38" s="135">
        <v>0</v>
      </c>
      <c r="R38" s="91"/>
      <c r="S38" s="124">
        <f t="shared" si="11"/>
        <v>20531.96</v>
      </c>
      <c r="T38" s="91"/>
      <c r="U38" s="125">
        <v>0</v>
      </c>
      <c r="V38" s="125">
        <f t="shared" si="7"/>
        <v>20531.96</v>
      </c>
      <c r="X38" s="125">
        <v>51395.72</v>
      </c>
      <c r="Y38" s="125">
        <f t="shared" si="12"/>
        <v>-30863.760000000002</v>
      </c>
    </row>
    <row r="39" spans="1:25" s="94" customFormat="1" ht="12" customHeight="1" x14ac:dyDescent="0.2">
      <c r="A39" s="90"/>
      <c r="B39" s="90" t="s">
        <v>70</v>
      </c>
      <c r="C39" s="121">
        <v>8599</v>
      </c>
      <c r="D39" s="128" t="s">
        <v>84</v>
      </c>
      <c r="E39" s="98">
        <v>0</v>
      </c>
      <c r="F39" s="98">
        <v>0</v>
      </c>
      <c r="G39" s="98">
        <v>0</v>
      </c>
      <c r="H39" s="98">
        <v>0</v>
      </c>
      <c r="I39" s="98">
        <v>1850.36</v>
      </c>
      <c r="J39" s="98">
        <v>1850.36</v>
      </c>
      <c r="K39" s="98">
        <v>40586</v>
      </c>
      <c r="L39" s="108">
        <v>0</v>
      </c>
      <c r="M39" s="108">
        <v>0</v>
      </c>
      <c r="N39" s="108">
        <v>0</v>
      </c>
      <c r="O39" s="108">
        <v>614.5</v>
      </c>
      <c r="P39" s="91">
        <v>0</v>
      </c>
      <c r="Q39" s="146">
        <v>475416</v>
      </c>
      <c r="R39" s="91"/>
      <c r="S39" s="124">
        <f t="shared" si="11"/>
        <v>520317.22</v>
      </c>
      <c r="T39" s="91"/>
      <c r="U39" s="125">
        <v>465270</v>
      </c>
      <c r="V39" s="125">
        <f t="shared" si="7"/>
        <v>55047.219999999972</v>
      </c>
      <c r="X39" s="125">
        <v>195489.03000000003</v>
      </c>
      <c r="Y39" s="125">
        <f t="shared" si="12"/>
        <v>324828.18999999994</v>
      </c>
    </row>
    <row r="40" spans="1:25" s="119" customFormat="1" ht="12" customHeight="1" x14ac:dyDescent="0.2">
      <c r="A40" s="120"/>
      <c r="B40" s="120" t="s">
        <v>70</v>
      </c>
      <c r="C40" s="120"/>
      <c r="D40" s="139"/>
      <c r="E40" s="140">
        <f>SUM(E33:E39)</f>
        <v>11388</v>
      </c>
      <c r="F40" s="140">
        <f t="shared" ref="F40:Q40" si="13">SUM(F33:F39)</f>
        <v>22775</v>
      </c>
      <c r="G40" s="140">
        <f t="shared" si="13"/>
        <v>16495.189999999999</v>
      </c>
      <c r="H40" s="140">
        <f t="shared" si="13"/>
        <v>24594.27</v>
      </c>
      <c r="I40" s="140">
        <f t="shared" si="13"/>
        <v>38746.17</v>
      </c>
      <c r="J40" s="140">
        <f t="shared" si="13"/>
        <v>23271.360000000001</v>
      </c>
      <c r="K40" s="140">
        <f t="shared" si="13"/>
        <v>194159.16</v>
      </c>
      <c r="L40" s="141">
        <f t="shared" si="13"/>
        <v>32287.52</v>
      </c>
      <c r="M40" s="141">
        <f t="shared" si="13"/>
        <v>-1464.5900000000001</v>
      </c>
      <c r="N40" s="141">
        <f t="shared" si="13"/>
        <v>65743.25</v>
      </c>
      <c r="O40" s="141">
        <f t="shared" si="13"/>
        <v>71999.88</v>
      </c>
      <c r="P40" s="142">
        <f t="shared" si="13"/>
        <v>1561.8066131940009</v>
      </c>
      <c r="Q40" s="141">
        <f t="shared" si="13"/>
        <v>573814.31462638802</v>
      </c>
      <c r="R40" s="123"/>
      <c r="S40" s="132">
        <f>SUM(S33:S39)</f>
        <v>1075371.331239582</v>
      </c>
      <c r="T40" s="123"/>
      <c r="U40" s="144">
        <v>990749.62604900007</v>
      </c>
      <c r="V40" s="144">
        <f>SUM(V33:V39)</f>
        <v>84621.705190582055</v>
      </c>
      <c r="W40" s="94"/>
      <c r="X40" s="144">
        <f>SUM(X33:X39)</f>
        <v>693054.2318038824</v>
      </c>
      <c r="Y40" s="144">
        <f>SUM(Y33:Y39)</f>
        <v>382317.09943569958</v>
      </c>
    </row>
    <row r="41" spans="1:25" s="119" customFormat="1" ht="12" customHeight="1" x14ac:dyDescent="0.2">
      <c r="A41" s="120"/>
      <c r="B41" s="147" t="s">
        <v>91</v>
      </c>
      <c r="C41" s="121"/>
      <c r="D41" s="128"/>
      <c r="E41" s="98"/>
      <c r="F41" s="98"/>
      <c r="G41" s="98"/>
      <c r="H41" s="98"/>
      <c r="I41" s="98"/>
      <c r="J41" s="98"/>
      <c r="K41" s="98"/>
      <c r="L41" s="108"/>
      <c r="M41" s="108"/>
      <c r="N41" s="108"/>
      <c r="O41" s="108"/>
      <c r="P41" s="123"/>
      <c r="Q41" s="108"/>
      <c r="R41" s="123"/>
      <c r="S41" s="124"/>
      <c r="T41" s="123"/>
      <c r="U41" s="148"/>
      <c r="V41" s="148"/>
      <c r="W41" s="94"/>
      <c r="X41" s="148"/>
      <c r="Y41" s="148"/>
    </row>
    <row r="42" spans="1:25" s="94" customFormat="1" ht="12" hidden="1" customHeight="1" x14ac:dyDescent="0.2">
      <c r="A42" s="90"/>
      <c r="B42" s="90" t="s">
        <v>70</v>
      </c>
      <c r="C42" s="121">
        <v>8634</v>
      </c>
      <c r="D42" s="122" t="s">
        <v>92</v>
      </c>
      <c r="E42" s="98">
        <v>0</v>
      </c>
      <c r="F42" s="98">
        <v>0</v>
      </c>
      <c r="G42" s="134">
        <v>0</v>
      </c>
      <c r="H42" s="98">
        <v>0</v>
      </c>
      <c r="I42" s="98">
        <v>0</v>
      </c>
      <c r="J42" s="98">
        <v>0</v>
      </c>
      <c r="K42" s="98">
        <v>0</v>
      </c>
      <c r="L42" s="135">
        <v>0</v>
      </c>
      <c r="M42" s="135">
        <v>0</v>
      </c>
      <c r="N42" s="135">
        <v>0</v>
      </c>
      <c r="O42" s="135">
        <v>0</v>
      </c>
      <c r="P42" s="91">
        <v>0</v>
      </c>
      <c r="Q42" s="135">
        <v>0</v>
      </c>
      <c r="R42" s="91"/>
      <c r="S42" s="124">
        <f t="shared" ref="S42:S49" si="14">SUM(E42:Q42)</f>
        <v>0</v>
      </c>
      <c r="T42" s="91"/>
      <c r="U42" s="125">
        <v>0</v>
      </c>
      <c r="V42" s="125">
        <f t="shared" si="7"/>
        <v>0</v>
      </c>
      <c r="X42" s="125">
        <v>0</v>
      </c>
      <c r="Y42" s="125">
        <f t="shared" ref="Y42:Y49" si="15">S42-X42</f>
        <v>0</v>
      </c>
    </row>
    <row r="43" spans="1:25" s="94" customFormat="1" ht="12" hidden="1" customHeight="1" x14ac:dyDescent="0.2">
      <c r="A43" s="90"/>
      <c r="B43" s="90" t="s">
        <v>70</v>
      </c>
      <c r="C43" s="121">
        <v>8650</v>
      </c>
      <c r="D43" s="122" t="s">
        <v>93</v>
      </c>
      <c r="E43" s="98">
        <v>0</v>
      </c>
      <c r="F43" s="98">
        <v>0</v>
      </c>
      <c r="G43" s="134">
        <v>0</v>
      </c>
      <c r="H43" s="98">
        <v>0</v>
      </c>
      <c r="I43" s="98">
        <v>0</v>
      </c>
      <c r="J43" s="98">
        <v>0</v>
      </c>
      <c r="K43" s="98">
        <v>0</v>
      </c>
      <c r="L43" s="135">
        <v>0</v>
      </c>
      <c r="M43" s="135">
        <v>0</v>
      </c>
      <c r="N43" s="135">
        <v>0</v>
      </c>
      <c r="O43" s="135">
        <v>0</v>
      </c>
      <c r="P43" s="91">
        <v>0</v>
      </c>
      <c r="Q43" s="135">
        <v>0</v>
      </c>
      <c r="R43" s="91"/>
      <c r="S43" s="124">
        <f t="shared" si="14"/>
        <v>0</v>
      </c>
      <c r="T43" s="91"/>
      <c r="U43" s="125">
        <v>0</v>
      </c>
      <c r="V43" s="125">
        <f t="shared" si="7"/>
        <v>0</v>
      </c>
      <c r="X43" s="125">
        <v>0</v>
      </c>
      <c r="Y43" s="125">
        <f t="shared" si="15"/>
        <v>0</v>
      </c>
    </row>
    <row r="44" spans="1:25" s="94" customFormat="1" ht="12" customHeight="1" x14ac:dyDescent="0.2">
      <c r="A44" s="90"/>
      <c r="B44" s="90" t="s">
        <v>70</v>
      </c>
      <c r="C44" s="121">
        <v>8660</v>
      </c>
      <c r="D44" s="122" t="s">
        <v>94</v>
      </c>
      <c r="E44" s="98">
        <v>36.69</v>
      </c>
      <c r="F44" s="98">
        <v>47.62</v>
      </c>
      <c r="G44" s="98">
        <v>69.34</v>
      </c>
      <c r="H44" s="98">
        <v>72.33</v>
      </c>
      <c r="I44" s="98">
        <v>73.97</v>
      </c>
      <c r="J44" s="98">
        <v>77.87</v>
      </c>
      <c r="K44" s="98">
        <v>82.42</v>
      </c>
      <c r="L44" s="108">
        <v>75.42</v>
      </c>
      <c r="M44" s="108">
        <v>84.46</v>
      </c>
      <c r="N44" s="108">
        <v>78.709999999999994</v>
      </c>
      <c r="O44" s="108">
        <v>0</v>
      </c>
      <c r="P44" s="91">
        <v>0</v>
      </c>
      <c r="Q44" s="135">
        <v>0</v>
      </c>
      <c r="R44" s="91"/>
      <c r="S44" s="124">
        <f t="shared" si="14"/>
        <v>698.83000000000015</v>
      </c>
      <c r="T44" s="91"/>
      <c r="U44" s="125">
        <v>0</v>
      </c>
      <c r="V44" s="125">
        <f t="shared" si="7"/>
        <v>698.83000000000015</v>
      </c>
      <c r="X44" s="125">
        <v>329.23</v>
      </c>
      <c r="Y44" s="125">
        <f t="shared" si="15"/>
        <v>369.60000000000014</v>
      </c>
    </row>
    <row r="45" spans="1:25" s="94" customFormat="1" ht="12" customHeight="1" x14ac:dyDescent="0.2">
      <c r="A45" s="90"/>
      <c r="B45" s="90" t="s">
        <v>70</v>
      </c>
      <c r="C45" s="121">
        <v>8689</v>
      </c>
      <c r="D45" s="122" t="s">
        <v>95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135">
        <v>0</v>
      </c>
      <c r="M45" s="108">
        <v>11838.42</v>
      </c>
      <c r="N45" s="108">
        <v>0</v>
      </c>
      <c r="O45" s="108">
        <v>0</v>
      </c>
      <c r="P45" s="91">
        <v>0</v>
      </c>
      <c r="Q45" s="135">
        <v>0</v>
      </c>
      <c r="R45" s="91"/>
      <c r="S45" s="124">
        <f t="shared" si="14"/>
        <v>11838.42</v>
      </c>
      <c r="T45" s="91"/>
      <c r="U45" s="125">
        <v>0</v>
      </c>
      <c r="V45" s="125">
        <f t="shared" si="7"/>
        <v>11838.42</v>
      </c>
      <c r="X45" s="125">
        <v>25076</v>
      </c>
      <c r="Y45" s="125">
        <f t="shared" si="15"/>
        <v>-13237.58</v>
      </c>
    </row>
    <row r="46" spans="1:25" s="94" customFormat="1" ht="12" hidden="1" customHeight="1" x14ac:dyDescent="0.2">
      <c r="A46" s="90"/>
      <c r="B46" s="90" t="s">
        <v>70</v>
      </c>
      <c r="C46" s="121">
        <v>8698</v>
      </c>
      <c r="D46" s="122" t="s">
        <v>96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149">
        <v>0</v>
      </c>
      <c r="M46" s="149">
        <v>0</v>
      </c>
      <c r="N46" s="149">
        <v>0</v>
      </c>
      <c r="O46" s="149">
        <v>0</v>
      </c>
      <c r="P46" s="150">
        <v>0</v>
      </c>
      <c r="Q46" s="135">
        <v>0</v>
      </c>
      <c r="R46" s="91"/>
      <c r="S46" s="124">
        <f t="shared" si="14"/>
        <v>0</v>
      </c>
      <c r="T46" s="91"/>
      <c r="U46" s="125">
        <v>0</v>
      </c>
      <c r="V46" s="125">
        <f t="shared" si="7"/>
        <v>0</v>
      </c>
      <c r="X46" s="125">
        <v>0</v>
      </c>
      <c r="Y46" s="125">
        <f t="shared" si="15"/>
        <v>0</v>
      </c>
    </row>
    <row r="47" spans="1:25" s="94" customFormat="1" ht="12" customHeight="1" x14ac:dyDescent="0.2">
      <c r="A47" s="90"/>
      <c r="B47" s="90" t="s">
        <v>70</v>
      </c>
      <c r="C47" s="121">
        <v>8699</v>
      </c>
      <c r="D47" s="122" t="s">
        <v>97</v>
      </c>
      <c r="E47" s="98">
        <v>0</v>
      </c>
      <c r="F47" s="98">
        <v>579.37</v>
      </c>
      <c r="G47" s="98">
        <v>0</v>
      </c>
      <c r="H47" s="98">
        <v>730.9</v>
      </c>
      <c r="I47" s="98">
        <v>0</v>
      </c>
      <c r="J47" s="98">
        <v>5955</v>
      </c>
      <c r="K47" s="98">
        <v>20</v>
      </c>
      <c r="L47" s="108">
        <v>88.2</v>
      </c>
      <c r="M47" s="108">
        <v>0</v>
      </c>
      <c r="N47" s="108">
        <v>72.62</v>
      </c>
      <c r="O47" s="108">
        <v>3575.5</v>
      </c>
      <c r="P47" s="150">
        <v>0</v>
      </c>
      <c r="Q47" s="135">
        <v>0</v>
      </c>
      <c r="R47" s="91"/>
      <c r="S47" s="124">
        <f t="shared" si="14"/>
        <v>11021.59</v>
      </c>
      <c r="T47" s="91"/>
      <c r="U47" s="125">
        <v>0</v>
      </c>
      <c r="V47" s="125">
        <f>S47-U47</f>
        <v>11021.59</v>
      </c>
      <c r="X47" s="125">
        <v>1460.99</v>
      </c>
      <c r="Y47" s="125">
        <f t="shared" si="15"/>
        <v>9560.6</v>
      </c>
    </row>
    <row r="48" spans="1:25" s="94" customFormat="1" ht="12" hidden="1" customHeight="1" x14ac:dyDescent="0.2">
      <c r="A48" s="95"/>
      <c r="B48" s="95" t="s">
        <v>70</v>
      </c>
      <c r="C48" s="121">
        <v>8980</v>
      </c>
      <c r="D48" s="128" t="s">
        <v>98</v>
      </c>
      <c r="E48" s="98">
        <v>0</v>
      </c>
      <c r="F48" s="98">
        <v>0</v>
      </c>
      <c r="G48" s="151">
        <v>0</v>
      </c>
      <c r="H48" s="98">
        <v>0</v>
      </c>
      <c r="I48" s="98">
        <v>0</v>
      </c>
      <c r="J48" s="98">
        <v>0</v>
      </c>
      <c r="K48" s="98">
        <v>0</v>
      </c>
      <c r="L48" s="146">
        <v>0</v>
      </c>
      <c r="M48" s="146">
        <v>0</v>
      </c>
      <c r="N48" s="146">
        <v>0</v>
      </c>
      <c r="O48" s="146">
        <v>0</v>
      </c>
      <c r="P48" s="125">
        <v>0</v>
      </c>
      <c r="Q48" s="152">
        <v>0</v>
      </c>
      <c r="R48" s="104"/>
      <c r="S48" s="124">
        <f t="shared" si="14"/>
        <v>0</v>
      </c>
      <c r="T48" s="104"/>
      <c r="U48" s="125">
        <v>0</v>
      </c>
      <c r="V48" s="125">
        <f>S48-U48</f>
        <v>0</v>
      </c>
      <c r="X48" s="125">
        <v>0</v>
      </c>
      <c r="Y48" s="125">
        <f t="shared" si="15"/>
        <v>0</v>
      </c>
    </row>
    <row r="49" spans="1:25" s="94" customFormat="1" ht="12" hidden="1" customHeight="1" x14ac:dyDescent="0.2">
      <c r="A49" s="95"/>
      <c r="B49" s="95" t="s">
        <v>70</v>
      </c>
      <c r="C49" s="121">
        <v>8990</v>
      </c>
      <c r="D49" s="128" t="s">
        <v>99</v>
      </c>
      <c r="E49" s="98">
        <v>0</v>
      </c>
      <c r="F49" s="98">
        <v>0</v>
      </c>
      <c r="G49" s="151">
        <v>0</v>
      </c>
      <c r="H49" s="98">
        <v>0</v>
      </c>
      <c r="I49" s="98">
        <v>0</v>
      </c>
      <c r="J49" s="98">
        <v>0</v>
      </c>
      <c r="K49" s="98">
        <v>0</v>
      </c>
      <c r="L49" s="146">
        <v>0</v>
      </c>
      <c r="M49" s="146">
        <v>0</v>
      </c>
      <c r="N49" s="146">
        <v>0</v>
      </c>
      <c r="O49" s="146">
        <v>0</v>
      </c>
      <c r="P49" s="125">
        <v>0</v>
      </c>
      <c r="Q49" s="152">
        <v>0</v>
      </c>
      <c r="R49" s="104"/>
      <c r="S49" s="124">
        <f t="shared" si="14"/>
        <v>0</v>
      </c>
      <c r="T49" s="104"/>
      <c r="U49" s="125">
        <v>0</v>
      </c>
      <c r="V49" s="125">
        <f>S49-U49</f>
        <v>0</v>
      </c>
      <c r="X49" s="125">
        <v>0</v>
      </c>
      <c r="Y49" s="125">
        <f t="shared" si="15"/>
        <v>0</v>
      </c>
    </row>
    <row r="50" spans="1:25" s="94" customFormat="1" ht="12" customHeight="1" x14ac:dyDescent="0.2">
      <c r="A50" s="95"/>
      <c r="B50" s="95" t="s">
        <v>70</v>
      </c>
      <c r="C50" s="121"/>
      <c r="D50" s="128"/>
      <c r="E50" s="129">
        <f>SUM(E42:E49)</f>
        <v>36.69</v>
      </c>
      <c r="F50" s="129">
        <f t="shared" ref="F50:P50" si="16">SUM(F42:F49)</f>
        <v>626.99</v>
      </c>
      <c r="G50" s="129">
        <f t="shared" si="16"/>
        <v>69.34</v>
      </c>
      <c r="H50" s="129">
        <f t="shared" si="16"/>
        <v>803.23</v>
      </c>
      <c r="I50" s="129">
        <f t="shared" si="16"/>
        <v>73.97</v>
      </c>
      <c r="J50" s="129">
        <f t="shared" si="16"/>
        <v>6032.87</v>
      </c>
      <c r="K50" s="129">
        <f t="shared" si="16"/>
        <v>102.42</v>
      </c>
      <c r="L50" s="130">
        <f t="shared" si="16"/>
        <v>163.62</v>
      </c>
      <c r="M50" s="130">
        <f t="shared" si="16"/>
        <v>11922.88</v>
      </c>
      <c r="N50" s="130">
        <f t="shared" si="16"/>
        <v>151.32999999999998</v>
      </c>
      <c r="O50" s="130">
        <f t="shared" si="16"/>
        <v>3575.5</v>
      </c>
      <c r="P50" s="131">
        <f t="shared" si="16"/>
        <v>0</v>
      </c>
      <c r="Q50" s="130">
        <f>SUM(Q42:Q49)</f>
        <v>0</v>
      </c>
      <c r="R50" s="104"/>
      <c r="S50" s="132">
        <f>SUM(S42:S49)</f>
        <v>23558.84</v>
      </c>
      <c r="T50" s="104"/>
      <c r="U50" s="133">
        <v>0</v>
      </c>
      <c r="V50" s="133">
        <f>SUM(V42:V49)</f>
        <v>23558.84</v>
      </c>
      <c r="X50" s="133">
        <f>SUM(X42:X49)</f>
        <v>26866.22</v>
      </c>
      <c r="Y50" s="133">
        <f>SUM(Y42:Y49)</f>
        <v>-3307.3799999999992</v>
      </c>
    </row>
    <row r="51" spans="1:25" s="94" customFormat="1" ht="12" customHeight="1" x14ac:dyDescent="0.2">
      <c r="A51" s="90"/>
      <c r="B51" s="90" t="s">
        <v>70</v>
      </c>
      <c r="C51" s="90"/>
      <c r="D51" s="90"/>
      <c r="E51" s="134"/>
      <c r="F51" s="134"/>
      <c r="G51" s="134"/>
      <c r="H51" s="134"/>
      <c r="I51" s="98"/>
      <c r="J51" s="98"/>
      <c r="K51" s="98"/>
      <c r="L51" s="135"/>
      <c r="M51" s="135"/>
      <c r="N51" s="135"/>
      <c r="O51" s="135"/>
      <c r="P51" s="91"/>
      <c r="Q51" s="135"/>
      <c r="R51" s="91"/>
      <c r="S51" s="136"/>
      <c r="T51" s="91"/>
      <c r="U51" s="91">
        <v>0</v>
      </c>
      <c r="V51" s="91"/>
      <c r="X51" s="91"/>
      <c r="Y51" s="91"/>
    </row>
    <row r="52" spans="1:25" s="119" customFormat="1" ht="12" customHeight="1" x14ac:dyDescent="0.2">
      <c r="A52" s="90" t="s">
        <v>100</v>
      </c>
      <c r="B52" s="90"/>
      <c r="C52" s="90"/>
      <c r="E52" s="153">
        <f t="shared" ref="E52:Q52" si="17">E50+E40+E31+E19</f>
        <v>64326.69</v>
      </c>
      <c r="F52" s="153">
        <f>F50+F40+F31+F19</f>
        <v>248127.99</v>
      </c>
      <c r="G52" s="153">
        <f t="shared" si="17"/>
        <v>267132.53000000003</v>
      </c>
      <c r="H52" s="153">
        <f t="shared" si="17"/>
        <v>366629.87</v>
      </c>
      <c r="I52" s="153">
        <f t="shared" si="17"/>
        <v>375258.20999999996</v>
      </c>
      <c r="J52" s="153">
        <f t="shared" si="17"/>
        <v>402677.23</v>
      </c>
      <c r="K52" s="153">
        <f t="shared" si="17"/>
        <v>655784.85</v>
      </c>
      <c r="L52" s="154">
        <f t="shared" si="17"/>
        <v>388088.89</v>
      </c>
      <c r="M52" s="154">
        <f t="shared" si="17"/>
        <v>165154.75</v>
      </c>
      <c r="N52" s="154">
        <f t="shared" si="17"/>
        <v>492444.94</v>
      </c>
      <c r="O52" s="154">
        <f t="shared" si="17"/>
        <v>291270.64</v>
      </c>
      <c r="P52" s="155">
        <f t="shared" si="17"/>
        <v>153669.44043386154</v>
      </c>
      <c r="Q52" s="154">
        <f t="shared" si="17"/>
        <v>860477.90964359511</v>
      </c>
      <c r="R52" s="156"/>
      <c r="S52" s="157">
        <f>S50+S40+S31+S19</f>
        <v>4731043.9400774566</v>
      </c>
      <c r="T52" s="158"/>
      <c r="U52" s="159">
        <v>5426658.1025807504</v>
      </c>
      <c r="V52" s="159">
        <f>V50+V40+V31+V19</f>
        <v>-695614.16250329278</v>
      </c>
      <c r="W52" s="94"/>
      <c r="X52" s="159">
        <f>X50+X40+X31+X19</f>
        <v>4248531.0494837575</v>
      </c>
      <c r="Y52" s="159">
        <f>Y50+Y40+Y31+Y19</f>
        <v>482512.89059369906</v>
      </c>
    </row>
    <row r="53" spans="1:25" s="94" customFormat="1" ht="12" customHeight="1" x14ac:dyDescent="0.2">
      <c r="A53" s="119"/>
      <c r="B53" s="119" t="s">
        <v>70</v>
      </c>
      <c r="E53" s="151"/>
      <c r="F53" s="151"/>
      <c r="G53" s="151"/>
      <c r="H53" s="151"/>
      <c r="I53" s="98"/>
      <c r="J53" s="98"/>
      <c r="K53" s="98"/>
      <c r="L53" s="146"/>
      <c r="M53" s="146"/>
      <c r="N53" s="146"/>
      <c r="O53" s="146"/>
      <c r="P53" s="125"/>
      <c r="Q53" s="146"/>
      <c r="R53" s="125"/>
      <c r="S53" s="136"/>
      <c r="T53" s="125"/>
      <c r="U53" s="125"/>
      <c r="V53" s="125"/>
      <c r="X53" s="125"/>
      <c r="Y53" s="125"/>
    </row>
    <row r="54" spans="1:25" s="94" customFormat="1" ht="12" customHeight="1" x14ac:dyDescent="0.2">
      <c r="A54" s="119" t="s">
        <v>101</v>
      </c>
      <c r="B54" s="119"/>
      <c r="E54" s="151"/>
      <c r="F54" s="151"/>
      <c r="G54" s="151"/>
      <c r="H54" s="151"/>
      <c r="I54" s="98"/>
      <c r="J54" s="98"/>
      <c r="K54" s="98"/>
      <c r="L54" s="146"/>
      <c r="M54" s="146"/>
      <c r="N54" s="146"/>
      <c r="O54" s="146"/>
      <c r="P54" s="125"/>
      <c r="Q54" s="146"/>
      <c r="R54" s="125"/>
      <c r="S54" s="136"/>
      <c r="T54" s="125"/>
      <c r="U54" s="125"/>
      <c r="V54" s="125"/>
      <c r="X54" s="125"/>
      <c r="Y54" s="125"/>
    </row>
    <row r="55" spans="1:25" s="94" customFormat="1" ht="12" customHeight="1" x14ac:dyDescent="0.2">
      <c r="A55" s="119"/>
      <c r="B55" s="119" t="s">
        <v>102</v>
      </c>
      <c r="E55" s="151"/>
      <c r="F55" s="151"/>
      <c r="G55" s="151"/>
      <c r="H55" s="151"/>
      <c r="I55" s="98"/>
      <c r="J55" s="98"/>
      <c r="K55" s="98"/>
      <c r="L55" s="146"/>
      <c r="M55" s="146"/>
      <c r="N55" s="146"/>
      <c r="O55" s="146"/>
      <c r="P55" s="125"/>
      <c r="Q55" s="146"/>
      <c r="R55" s="125"/>
      <c r="S55" s="136"/>
      <c r="T55" s="125"/>
      <c r="U55" s="125"/>
      <c r="V55" s="125"/>
      <c r="X55" s="125"/>
      <c r="Y55" s="125"/>
    </row>
    <row r="56" spans="1:25" s="94" customFormat="1" ht="12" customHeight="1" x14ac:dyDescent="0.2">
      <c r="A56" s="160"/>
      <c r="B56" s="160" t="s">
        <v>70</v>
      </c>
      <c r="C56" s="121">
        <v>1100</v>
      </c>
      <c r="D56" s="128" t="s">
        <v>103</v>
      </c>
      <c r="E56" s="151">
        <v>0</v>
      </c>
      <c r="F56" s="151">
        <v>72498.81</v>
      </c>
      <c r="G56" s="151">
        <v>74994.429999999993</v>
      </c>
      <c r="H56" s="151">
        <v>71839.38</v>
      </c>
      <c r="I56" s="98">
        <v>72375.44</v>
      </c>
      <c r="J56" s="98">
        <v>70713.23</v>
      </c>
      <c r="K56" s="98">
        <v>71501.67</v>
      </c>
      <c r="L56" s="108">
        <v>69281.41</v>
      </c>
      <c r="M56" s="146">
        <v>63649.37</v>
      </c>
      <c r="N56" s="108">
        <v>65872.399999999994</v>
      </c>
      <c r="O56" s="108">
        <v>59982.76</v>
      </c>
      <c r="P56" s="125">
        <v>78474.335927272725</v>
      </c>
      <c r="Q56" s="146">
        <v>0</v>
      </c>
      <c r="R56" s="125"/>
      <c r="S56" s="124">
        <f t="shared" ref="S56:S61" si="18">SUM(E56:Q56)</f>
        <v>771183.2359272727</v>
      </c>
      <c r="T56" s="125"/>
      <c r="U56" s="125">
        <v>863217.69519999984</v>
      </c>
      <c r="V56" s="125">
        <f>U56-S56</f>
        <v>92034.459272727137</v>
      </c>
      <c r="X56" s="125">
        <v>772385.66181818175</v>
      </c>
      <c r="Y56" s="125">
        <f>X56-S56</f>
        <v>1202.4258909090422</v>
      </c>
    </row>
    <row r="57" spans="1:25" s="94" customFormat="1" ht="12" customHeight="1" x14ac:dyDescent="0.2">
      <c r="A57" s="160"/>
      <c r="B57" s="160" t="s">
        <v>70</v>
      </c>
      <c r="C57" s="121">
        <v>1170</v>
      </c>
      <c r="D57" s="128" t="s">
        <v>104</v>
      </c>
      <c r="E57" s="151">
        <v>2700</v>
      </c>
      <c r="F57" s="151">
        <v>0</v>
      </c>
      <c r="G57" s="151">
        <v>0</v>
      </c>
      <c r="H57" s="151">
        <v>0</v>
      </c>
      <c r="I57" s="98">
        <v>0</v>
      </c>
      <c r="J57" s="98">
        <v>0</v>
      </c>
      <c r="K57" s="98">
        <v>4203</v>
      </c>
      <c r="L57" s="108">
        <v>11931</v>
      </c>
      <c r="M57" s="98">
        <v>12396</v>
      </c>
      <c r="N57" s="98">
        <v>6624</v>
      </c>
      <c r="O57" s="98">
        <v>10772.5</v>
      </c>
      <c r="P57" s="125">
        <v>520</v>
      </c>
      <c r="Q57" s="146">
        <v>0</v>
      </c>
      <c r="R57" s="125"/>
      <c r="S57" s="124">
        <f t="shared" si="18"/>
        <v>49146.5</v>
      </c>
      <c r="T57" s="125"/>
      <c r="U57" s="125">
        <v>6240</v>
      </c>
      <c r="V57" s="125">
        <f t="shared" ref="V57:V61" si="19">U57-S57</f>
        <v>-42906.5</v>
      </c>
      <c r="X57" s="125">
        <v>1998.6136363636365</v>
      </c>
      <c r="Y57" s="125">
        <f t="shared" ref="Y57:Y61" si="20">X57-S57</f>
        <v>-47147.88636363636</v>
      </c>
    </row>
    <row r="58" spans="1:25" s="94" customFormat="1" ht="12" customHeight="1" x14ac:dyDescent="0.2">
      <c r="A58" s="160"/>
      <c r="B58" s="160" t="s">
        <v>70</v>
      </c>
      <c r="C58" s="121">
        <v>1175</v>
      </c>
      <c r="D58" s="128" t="s">
        <v>105</v>
      </c>
      <c r="E58" s="151">
        <v>0</v>
      </c>
      <c r="F58" s="151">
        <v>680</v>
      </c>
      <c r="G58" s="151">
        <v>930</v>
      </c>
      <c r="H58" s="151">
        <v>3624.86</v>
      </c>
      <c r="I58" s="98">
        <v>7005</v>
      </c>
      <c r="J58" s="98">
        <v>1905</v>
      </c>
      <c r="K58" s="98">
        <v>480</v>
      </c>
      <c r="L58" s="108">
        <v>1135</v>
      </c>
      <c r="M58" s="108">
        <v>6590</v>
      </c>
      <c r="N58" s="108">
        <v>940</v>
      </c>
      <c r="O58" s="108">
        <v>5295</v>
      </c>
      <c r="P58" s="125">
        <v>1906.6666666666667</v>
      </c>
      <c r="Q58" s="146">
        <v>0</v>
      </c>
      <c r="R58" s="125"/>
      <c r="S58" s="124">
        <f t="shared" si="18"/>
        <v>30491.526666666668</v>
      </c>
      <c r="T58" s="125"/>
      <c r="U58" s="125">
        <v>22880.000000000004</v>
      </c>
      <c r="V58" s="125">
        <f t="shared" si="19"/>
        <v>-7611.5266666666648</v>
      </c>
      <c r="X58" s="125">
        <v>21720</v>
      </c>
      <c r="Y58" s="125">
        <f t="shared" si="20"/>
        <v>-8771.5266666666685</v>
      </c>
    </row>
    <row r="59" spans="1:25" s="94" customFormat="1" ht="12" hidden="1" customHeight="1" x14ac:dyDescent="0.2">
      <c r="A59" s="161"/>
      <c r="B59" s="161" t="s">
        <v>70</v>
      </c>
      <c r="C59" s="121">
        <v>1200</v>
      </c>
      <c r="D59" s="128" t="s">
        <v>106</v>
      </c>
      <c r="E59" s="151">
        <v>0</v>
      </c>
      <c r="F59" s="151">
        <v>0</v>
      </c>
      <c r="G59" s="151">
        <v>0</v>
      </c>
      <c r="H59" s="151">
        <v>0</v>
      </c>
      <c r="I59" s="98">
        <v>0</v>
      </c>
      <c r="J59" s="98">
        <v>0</v>
      </c>
      <c r="K59" s="98">
        <v>0</v>
      </c>
      <c r="L59" s="146">
        <v>0</v>
      </c>
      <c r="M59" s="146">
        <v>0</v>
      </c>
      <c r="N59" s="146">
        <v>0</v>
      </c>
      <c r="O59" s="146">
        <v>0</v>
      </c>
      <c r="P59" s="125">
        <v>0</v>
      </c>
      <c r="Q59" s="146">
        <v>0</v>
      </c>
      <c r="R59" s="125"/>
      <c r="S59" s="124">
        <f t="shared" si="18"/>
        <v>0</v>
      </c>
      <c r="T59" s="125"/>
      <c r="U59" s="125">
        <v>0</v>
      </c>
      <c r="V59" s="125">
        <f t="shared" si="19"/>
        <v>0</v>
      </c>
      <c r="X59" s="125">
        <v>0</v>
      </c>
      <c r="Y59" s="125">
        <f t="shared" si="20"/>
        <v>0</v>
      </c>
    </row>
    <row r="60" spans="1:25" s="94" customFormat="1" ht="12" customHeight="1" x14ac:dyDescent="0.2">
      <c r="A60" s="160"/>
      <c r="B60" s="160" t="s">
        <v>70</v>
      </c>
      <c r="C60" s="121">
        <v>1300</v>
      </c>
      <c r="D60" s="128" t="s">
        <v>107</v>
      </c>
      <c r="E60" s="151">
        <v>25516.54</v>
      </c>
      <c r="F60" s="151">
        <v>35677.980000000003</v>
      </c>
      <c r="G60" s="151">
        <v>34758.910000000003</v>
      </c>
      <c r="H60" s="151">
        <v>35431.54</v>
      </c>
      <c r="I60" s="98">
        <v>31931.54</v>
      </c>
      <c r="J60" s="98">
        <v>32256.54</v>
      </c>
      <c r="K60" s="98">
        <v>31981.54</v>
      </c>
      <c r="L60" s="108">
        <v>33381.54</v>
      </c>
      <c r="M60" s="108">
        <v>35031.54</v>
      </c>
      <c r="N60" s="108">
        <v>34431.54</v>
      </c>
      <c r="O60" s="108">
        <v>34181.54</v>
      </c>
      <c r="P60" s="125">
        <v>30200.563466666674</v>
      </c>
      <c r="Q60" s="146">
        <v>0</v>
      </c>
      <c r="R60" s="125"/>
      <c r="S60" s="124">
        <f t="shared" si="18"/>
        <v>394781.31346666667</v>
      </c>
      <c r="T60" s="125"/>
      <c r="U60" s="125">
        <v>362406.76160000009</v>
      </c>
      <c r="V60" s="125">
        <f t="shared" si="19"/>
        <v>-32374.551866666588</v>
      </c>
      <c r="X60" s="125">
        <v>357391.11000000004</v>
      </c>
      <c r="Y60" s="125">
        <f t="shared" si="20"/>
        <v>-37390.20346666663</v>
      </c>
    </row>
    <row r="61" spans="1:25" s="94" customFormat="1" ht="12" hidden="1" customHeight="1" x14ac:dyDescent="0.2">
      <c r="A61" s="161"/>
      <c r="B61" s="161" t="s">
        <v>70</v>
      </c>
      <c r="C61" s="121">
        <v>1900</v>
      </c>
      <c r="D61" s="128" t="s">
        <v>108</v>
      </c>
      <c r="E61" s="151">
        <v>0</v>
      </c>
      <c r="F61" s="151">
        <v>0</v>
      </c>
      <c r="G61" s="151">
        <v>0</v>
      </c>
      <c r="H61" s="151">
        <v>0</v>
      </c>
      <c r="I61" s="98">
        <v>0</v>
      </c>
      <c r="J61" s="98">
        <v>0</v>
      </c>
      <c r="K61" s="98">
        <v>0</v>
      </c>
      <c r="L61" s="146">
        <v>0</v>
      </c>
      <c r="M61" s="146">
        <v>0</v>
      </c>
      <c r="N61" s="146">
        <v>0</v>
      </c>
      <c r="O61" s="146">
        <v>0</v>
      </c>
      <c r="P61" s="125">
        <v>0</v>
      </c>
      <c r="Q61" s="146">
        <v>0</v>
      </c>
      <c r="R61" s="125"/>
      <c r="S61" s="124">
        <f t="shared" si="18"/>
        <v>0</v>
      </c>
      <c r="T61" s="125"/>
      <c r="U61" s="125">
        <v>0</v>
      </c>
      <c r="V61" s="125">
        <f t="shared" si="19"/>
        <v>0</v>
      </c>
      <c r="X61" s="125">
        <v>0</v>
      </c>
      <c r="Y61" s="125">
        <f t="shared" si="20"/>
        <v>0</v>
      </c>
    </row>
    <row r="62" spans="1:25" s="94" customFormat="1" ht="12" customHeight="1" x14ac:dyDescent="0.2">
      <c r="A62" s="161"/>
      <c r="B62" s="161" t="s">
        <v>70</v>
      </c>
      <c r="C62" s="121"/>
      <c r="D62" s="128"/>
      <c r="E62" s="129">
        <f>SUM(E56:E61)</f>
        <v>28216.54</v>
      </c>
      <c r="F62" s="129">
        <f t="shared" ref="F62:S62" si="21">SUM(F56:F61)</f>
        <v>108856.79000000001</v>
      </c>
      <c r="G62" s="129">
        <f t="shared" si="21"/>
        <v>110683.34</v>
      </c>
      <c r="H62" s="129">
        <f t="shared" si="21"/>
        <v>110895.78</v>
      </c>
      <c r="I62" s="129">
        <f t="shared" si="21"/>
        <v>111311.98000000001</v>
      </c>
      <c r="J62" s="129">
        <f t="shared" si="21"/>
        <v>104874.76999999999</v>
      </c>
      <c r="K62" s="129">
        <f t="shared" si="21"/>
        <v>108166.20999999999</v>
      </c>
      <c r="L62" s="130">
        <f t="shared" si="21"/>
        <v>115728.95000000001</v>
      </c>
      <c r="M62" s="130">
        <f t="shared" si="21"/>
        <v>117666.91</v>
      </c>
      <c r="N62" s="130">
        <f t="shared" si="21"/>
        <v>107867.94</v>
      </c>
      <c r="O62" s="130">
        <f t="shared" si="21"/>
        <v>110231.80000000002</v>
      </c>
      <c r="P62" s="131">
        <f t="shared" si="21"/>
        <v>111101.56606060607</v>
      </c>
      <c r="Q62" s="130">
        <f t="shared" si="21"/>
        <v>0</v>
      </c>
      <c r="R62" s="125">
        <f t="shared" si="21"/>
        <v>0</v>
      </c>
      <c r="S62" s="132">
        <f t="shared" si="21"/>
        <v>1245602.5760606059</v>
      </c>
      <c r="T62" s="125"/>
      <c r="U62" s="133">
        <v>1254744.4567999998</v>
      </c>
      <c r="V62" s="133">
        <f>SUM(V56:V61)</f>
        <v>9141.8807393938841</v>
      </c>
      <c r="X62" s="133">
        <f>SUM(X56:X61)</f>
        <v>1153495.3854545455</v>
      </c>
      <c r="Y62" s="133">
        <f>SUM(Y56:Y61)</f>
        <v>-92107.190606060612</v>
      </c>
    </row>
    <row r="63" spans="1:25" s="94" customFormat="1" ht="12" customHeight="1" x14ac:dyDescent="0.2">
      <c r="A63" s="161"/>
      <c r="B63" s="161" t="s">
        <v>109</v>
      </c>
      <c r="C63" s="121"/>
      <c r="D63" s="128"/>
      <c r="E63" s="151"/>
      <c r="F63" s="151"/>
      <c r="G63" s="151"/>
      <c r="H63" s="151"/>
      <c r="I63" s="98"/>
      <c r="J63" s="98"/>
      <c r="K63" s="98"/>
      <c r="L63" s="146"/>
      <c r="M63" s="146"/>
      <c r="N63" s="146"/>
      <c r="O63" s="146"/>
      <c r="P63" s="125"/>
      <c r="Q63" s="146"/>
      <c r="R63" s="125"/>
      <c r="S63" s="124"/>
      <c r="T63" s="125"/>
      <c r="U63" s="125"/>
      <c r="V63" s="125"/>
      <c r="X63" s="125"/>
      <c r="Y63" s="125"/>
    </row>
    <row r="64" spans="1:25" s="94" customFormat="1" ht="12" customHeight="1" x14ac:dyDescent="0.2">
      <c r="A64" s="161"/>
      <c r="B64" s="161" t="s">
        <v>70</v>
      </c>
      <c r="C64" s="121">
        <v>2100</v>
      </c>
      <c r="D64" s="128" t="s">
        <v>110</v>
      </c>
      <c r="E64" s="151">
        <v>6518.75</v>
      </c>
      <c r="F64" s="151">
        <v>14883.07</v>
      </c>
      <c r="G64" s="151">
        <v>19568.63</v>
      </c>
      <c r="H64" s="151">
        <v>18607.7</v>
      </c>
      <c r="I64" s="98">
        <v>21675.69</v>
      </c>
      <c r="J64" s="98">
        <v>18732.259999999998</v>
      </c>
      <c r="K64" s="98">
        <v>13209.13</v>
      </c>
      <c r="L64" s="108">
        <v>16636.25</v>
      </c>
      <c r="M64" s="108">
        <v>17033.509999999998</v>
      </c>
      <c r="N64" s="108">
        <v>16482.38</v>
      </c>
      <c r="O64" s="108">
        <v>22624.5</v>
      </c>
      <c r="P64" s="125">
        <v>21480.350102971468</v>
      </c>
      <c r="Q64" s="146">
        <v>0</v>
      </c>
      <c r="R64" s="125"/>
      <c r="S64" s="124">
        <f t="shared" ref="S64:S68" si="22">SUM(E64:Q64)</f>
        <v>207452.22010297148</v>
      </c>
      <c r="T64" s="125"/>
      <c r="U64" s="125">
        <v>240867.18446601956</v>
      </c>
      <c r="V64" s="125">
        <f t="shared" ref="V64:V68" si="23">U64-S64</f>
        <v>33414.964363048086</v>
      </c>
      <c r="X64" s="125">
        <v>189779.93454545457</v>
      </c>
      <c r="Y64" s="125">
        <f t="shared" ref="Y64:Y68" si="24">X64-S64</f>
        <v>-17672.285557516909</v>
      </c>
    </row>
    <row r="65" spans="1:26" s="94" customFormat="1" ht="12" hidden="1" customHeight="1" x14ac:dyDescent="0.2">
      <c r="A65" s="161"/>
      <c r="B65" s="161" t="s">
        <v>70</v>
      </c>
      <c r="C65" s="121">
        <v>2200</v>
      </c>
      <c r="D65" s="128" t="s">
        <v>111</v>
      </c>
      <c r="E65" s="151">
        <v>0</v>
      </c>
      <c r="F65" s="151">
        <v>0</v>
      </c>
      <c r="G65" s="151">
        <v>0</v>
      </c>
      <c r="H65" s="151">
        <v>0</v>
      </c>
      <c r="I65" s="98">
        <v>0</v>
      </c>
      <c r="J65" s="98">
        <v>0</v>
      </c>
      <c r="K65" s="98">
        <v>0</v>
      </c>
      <c r="L65" s="146">
        <v>0</v>
      </c>
      <c r="M65" s="146">
        <v>0</v>
      </c>
      <c r="N65" s="146">
        <v>0</v>
      </c>
      <c r="O65" s="146">
        <v>0</v>
      </c>
      <c r="P65" s="125">
        <v>0</v>
      </c>
      <c r="Q65" s="146">
        <v>0</v>
      </c>
      <c r="R65" s="125"/>
      <c r="S65" s="124">
        <f t="shared" si="22"/>
        <v>0</v>
      </c>
      <c r="T65" s="125"/>
      <c r="U65" s="125">
        <v>0</v>
      </c>
      <c r="V65" s="125">
        <f t="shared" si="23"/>
        <v>0</v>
      </c>
      <c r="X65" s="125">
        <v>0</v>
      </c>
      <c r="Y65" s="125">
        <f t="shared" si="24"/>
        <v>0</v>
      </c>
    </row>
    <row r="66" spans="1:26" s="94" customFormat="1" ht="12" customHeight="1" x14ac:dyDescent="0.15">
      <c r="A66" s="161"/>
      <c r="B66" s="161" t="s">
        <v>70</v>
      </c>
      <c r="C66" s="121">
        <v>2300</v>
      </c>
      <c r="D66" s="128" t="s">
        <v>112</v>
      </c>
      <c r="E66" s="151">
        <v>5190</v>
      </c>
      <c r="F66" s="151">
        <v>6490</v>
      </c>
      <c r="G66" s="151">
        <v>7311.6</v>
      </c>
      <c r="H66" s="151">
        <v>5840</v>
      </c>
      <c r="I66" s="98">
        <v>5190</v>
      </c>
      <c r="J66" s="98">
        <v>5840</v>
      </c>
      <c r="K66" s="98">
        <v>6215</v>
      </c>
      <c r="L66" s="108">
        <v>6240</v>
      </c>
      <c r="M66" s="108">
        <v>6215</v>
      </c>
      <c r="N66" s="108">
        <v>5240</v>
      </c>
      <c r="O66" s="108">
        <v>5565</v>
      </c>
      <c r="P66" s="125">
        <v>5150.0011333333332</v>
      </c>
      <c r="Q66" s="146">
        <v>0</v>
      </c>
      <c r="R66" s="125"/>
      <c r="S66" s="124">
        <f t="shared" si="22"/>
        <v>70486.60113333333</v>
      </c>
      <c r="T66" s="125"/>
      <c r="U66" s="125">
        <v>61800.013599999984</v>
      </c>
      <c r="V66" s="125">
        <f t="shared" si="23"/>
        <v>-8686.5875333333461</v>
      </c>
      <c r="X66" s="125">
        <v>58168.052499999983</v>
      </c>
      <c r="Y66" s="125">
        <f t="shared" si="24"/>
        <v>-12318.548633333347</v>
      </c>
    </row>
    <row r="67" spans="1:26" s="94" customFormat="1" ht="12" customHeight="1" x14ac:dyDescent="0.2">
      <c r="A67" s="161"/>
      <c r="B67" s="161" t="s">
        <v>70</v>
      </c>
      <c r="C67" s="121">
        <v>2400</v>
      </c>
      <c r="D67" s="137" t="s">
        <v>113</v>
      </c>
      <c r="E67" s="151">
        <v>1360</v>
      </c>
      <c r="F67" s="151">
        <v>3384.38</v>
      </c>
      <c r="G67" s="151">
        <v>3902.13</v>
      </c>
      <c r="H67" s="151">
        <v>2835.75</v>
      </c>
      <c r="I67" s="98">
        <v>3106.5</v>
      </c>
      <c r="J67" s="98">
        <v>4750.25</v>
      </c>
      <c r="K67" s="98">
        <v>5999</v>
      </c>
      <c r="L67" s="108">
        <v>7525.5</v>
      </c>
      <c r="M67" s="108">
        <v>3661.57</v>
      </c>
      <c r="N67" s="108">
        <v>6687.38</v>
      </c>
      <c r="O67" s="108">
        <v>7446.75</v>
      </c>
      <c r="P67" s="125">
        <v>3744</v>
      </c>
      <c r="Q67" s="146">
        <v>0</v>
      </c>
      <c r="R67" s="162"/>
      <c r="S67" s="124">
        <f t="shared" si="22"/>
        <v>54403.21</v>
      </c>
      <c r="T67" s="125"/>
      <c r="U67" s="125">
        <v>41184</v>
      </c>
      <c r="V67" s="125">
        <f t="shared" si="23"/>
        <v>-13219.21</v>
      </c>
      <c r="X67" s="125">
        <v>34875</v>
      </c>
      <c r="Y67" s="125">
        <f t="shared" si="24"/>
        <v>-19528.21</v>
      </c>
    </row>
    <row r="68" spans="1:26" s="94" customFormat="1" ht="12" hidden="1" customHeight="1" x14ac:dyDescent="0.2">
      <c r="A68" s="161"/>
      <c r="B68" s="161" t="s">
        <v>70</v>
      </c>
      <c r="C68" s="121">
        <v>2900</v>
      </c>
      <c r="D68" s="128" t="s">
        <v>114</v>
      </c>
      <c r="E68" s="151">
        <v>0</v>
      </c>
      <c r="F68" s="151">
        <v>0</v>
      </c>
      <c r="G68" s="151">
        <v>0</v>
      </c>
      <c r="H68" s="125">
        <v>0</v>
      </c>
      <c r="I68" s="98">
        <v>0</v>
      </c>
      <c r="J68" s="98">
        <v>0</v>
      </c>
      <c r="K68" s="98">
        <v>0</v>
      </c>
      <c r="L68" s="146">
        <v>0</v>
      </c>
      <c r="M68" s="146">
        <v>0</v>
      </c>
      <c r="N68" s="146">
        <v>0</v>
      </c>
      <c r="O68" s="146">
        <v>0</v>
      </c>
      <c r="P68" s="125">
        <v>0</v>
      </c>
      <c r="Q68" s="146">
        <v>0</v>
      </c>
      <c r="R68" s="125"/>
      <c r="S68" s="124">
        <f t="shared" si="22"/>
        <v>0</v>
      </c>
      <c r="T68" s="125"/>
      <c r="U68" s="125">
        <v>0</v>
      </c>
      <c r="V68" s="125">
        <f t="shared" si="23"/>
        <v>0</v>
      </c>
      <c r="X68" s="125">
        <v>0</v>
      </c>
      <c r="Y68" s="125">
        <f t="shared" si="24"/>
        <v>0</v>
      </c>
    </row>
    <row r="69" spans="1:26" s="94" customFormat="1" ht="12" customHeight="1" x14ac:dyDescent="0.2">
      <c r="A69" s="161"/>
      <c r="B69" s="161" t="s">
        <v>70</v>
      </c>
      <c r="C69" s="163"/>
      <c r="D69" s="163"/>
      <c r="E69" s="129">
        <f>SUM(E64:E68)</f>
        <v>13068.75</v>
      </c>
      <c r="F69" s="129">
        <f t="shared" ref="F69:R69" si="25">SUM(F64:F68)</f>
        <v>24757.45</v>
      </c>
      <c r="G69" s="129">
        <f t="shared" si="25"/>
        <v>30782.360000000004</v>
      </c>
      <c r="H69" s="129">
        <f t="shared" si="25"/>
        <v>27283.45</v>
      </c>
      <c r="I69" s="129">
        <f t="shared" si="25"/>
        <v>29972.19</v>
      </c>
      <c r="J69" s="129">
        <f t="shared" si="25"/>
        <v>29322.51</v>
      </c>
      <c r="K69" s="129">
        <f t="shared" si="25"/>
        <v>25423.129999999997</v>
      </c>
      <c r="L69" s="130">
        <f t="shared" si="25"/>
        <v>30401.75</v>
      </c>
      <c r="M69" s="130">
        <f t="shared" si="25"/>
        <v>26910.079999999998</v>
      </c>
      <c r="N69" s="130">
        <f t="shared" si="25"/>
        <v>28409.760000000002</v>
      </c>
      <c r="O69" s="130">
        <f t="shared" si="25"/>
        <v>35636.25</v>
      </c>
      <c r="P69" s="131">
        <f t="shared" si="25"/>
        <v>30374.351236304799</v>
      </c>
      <c r="Q69" s="130">
        <f t="shared" si="25"/>
        <v>0</v>
      </c>
      <c r="R69" s="125">
        <f t="shared" si="25"/>
        <v>0</v>
      </c>
      <c r="S69" s="132">
        <f>SUM(S64:S68)</f>
        <v>332342.03123630484</v>
      </c>
      <c r="T69" s="125"/>
      <c r="U69" s="133">
        <v>343851.19806601957</v>
      </c>
      <c r="V69" s="133">
        <f>SUM(V64:V68)</f>
        <v>11509.166829714741</v>
      </c>
      <c r="X69" s="133">
        <f>SUM(X64:X68)</f>
        <v>282822.98704545456</v>
      </c>
      <c r="Y69" s="133">
        <f>SUM(Y64:Y68)</f>
        <v>-49519.044190850254</v>
      </c>
    </row>
    <row r="70" spans="1:26" s="94" customFormat="1" ht="12" customHeight="1" x14ac:dyDescent="0.2">
      <c r="A70" s="161"/>
      <c r="B70" s="161" t="s">
        <v>115</v>
      </c>
      <c r="C70" s="163"/>
      <c r="D70" s="163"/>
      <c r="E70" s="151"/>
      <c r="F70" s="151"/>
      <c r="G70" s="151"/>
      <c r="H70" s="151"/>
      <c r="I70" s="98"/>
      <c r="J70" s="98"/>
      <c r="K70" s="98"/>
      <c r="L70" s="146"/>
      <c r="M70" s="146"/>
      <c r="N70" s="146"/>
      <c r="O70" s="146"/>
      <c r="P70" s="125"/>
      <c r="Q70" s="146"/>
      <c r="R70" s="125"/>
      <c r="S70" s="136"/>
      <c r="T70" s="125"/>
      <c r="U70" s="125"/>
      <c r="V70" s="125"/>
      <c r="X70" s="125"/>
      <c r="Y70" s="125"/>
    </row>
    <row r="71" spans="1:26" s="94" customFormat="1" ht="12" customHeight="1" x14ac:dyDescent="0.2">
      <c r="A71" s="161"/>
      <c r="B71" s="161" t="s">
        <v>70</v>
      </c>
      <c r="C71" s="121">
        <v>3101</v>
      </c>
      <c r="D71" s="137" t="s">
        <v>116</v>
      </c>
      <c r="E71" s="151">
        <v>4303.8599999999997</v>
      </c>
      <c r="F71" s="151">
        <v>18920.47</v>
      </c>
      <c r="G71" s="151">
        <v>18588.03</v>
      </c>
      <c r="H71" s="151">
        <v>18481.02</v>
      </c>
      <c r="I71" s="98">
        <v>14701.62</v>
      </c>
      <c r="J71" s="98">
        <v>17588.27</v>
      </c>
      <c r="K71" s="98">
        <v>18200.23</v>
      </c>
      <c r="L71" s="108">
        <v>19483.21</v>
      </c>
      <c r="M71" s="108">
        <v>19755.3</v>
      </c>
      <c r="N71" s="108">
        <v>18156.5</v>
      </c>
      <c r="O71" s="108">
        <v>18559.82</v>
      </c>
      <c r="P71" s="125">
        <v>18936.35301701658</v>
      </c>
      <c r="Q71" s="146">
        <v>0</v>
      </c>
      <c r="R71" s="125"/>
      <c r="S71" s="124">
        <f t="shared" ref="S71:S78" si="26">SUM(E71:Q71)</f>
        <v>205674.68301701656</v>
      </c>
      <c r="T71" s="125"/>
      <c r="U71" s="125">
        <v>212302.76885856007</v>
      </c>
      <c r="V71" s="125">
        <f t="shared" ref="V71:V78" si="27">U71-S71</f>
        <v>6628.0858415435068</v>
      </c>
      <c r="X71" s="125">
        <v>182702.69786608929</v>
      </c>
      <c r="Y71" s="125">
        <f t="shared" ref="Y71:Y78" si="28">X71-S71</f>
        <v>-22971.98515092727</v>
      </c>
      <c r="Z71" s="125"/>
    </row>
    <row r="72" spans="1:26" s="94" customFormat="1" ht="12" hidden="1" customHeight="1" x14ac:dyDescent="0.2">
      <c r="A72" s="161"/>
      <c r="B72" s="161" t="s">
        <v>70</v>
      </c>
      <c r="C72" s="121">
        <v>3202</v>
      </c>
      <c r="D72" s="137" t="s">
        <v>117</v>
      </c>
      <c r="E72" s="151">
        <v>0</v>
      </c>
      <c r="F72" s="151">
        <v>0</v>
      </c>
      <c r="G72" s="151">
        <v>0</v>
      </c>
      <c r="H72" s="151">
        <v>0</v>
      </c>
      <c r="I72" s="98">
        <v>0</v>
      </c>
      <c r="J72" s="98">
        <v>0</v>
      </c>
      <c r="K72" s="98">
        <v>0</v>
      </c>
      <c r="L72" s="146">
        <v>0</v>
      </c>
      <c r="M72" s="146">
        <v>0</v>
      </c>
      <c r="N72" s="146">
        <v>0</v>
      </c>
      <c r="O72" s="146">
        <v>0</v>
      </c>
      <c r="P72" s="125">
        <v>0</v>
      </c>
      <c r="Q72" s="146">
        <v>0</v>
      </c>
      <c r="R72" s="125"/>
      <c r="S72" s="124">
        <f t="shared" si="26"/>
        <v>0</v>
      </c>
      <c r="T72" s="125"/>
      <c r="U72" s="125">
        <v>0</v>
      </c>
      <c r="V72" s="125">
        <f t="shared" si="27"/>
        <v>0</v>
      </c>
      <c r="X72" s="125">
        <v>0</v>
      </c>
      <c r="Y72" s="125">
        <f t="shared" si="28"/>
        <v>0</v>
      </c>
      <c r="Z72" s="125"/>
    </row>
    <row r="73" spans="1:26" s="94" customFormat="1" ht="12" customHeight="1" x14ac:dyDescent="0.2">
      <c r="A73" s="161"/>
      <c r="B73" s="161" t="s">
        <v>70</v>
      </c>
      <c r="C73" s="121">
        <v>3301</v>
      </c>
      <c r="D73" s="137" t="s">
        <v>118</v>
      </c>
      <c r="E73" s="151">
        <v>970.51</v>
      </c>
      <c r="F73" s="151">
        <v>1675.2</v>
      </c>
      <c r="G73" s="151">
        <v>1900.08</v>
      </c>
      <c r="H73" s="151">
        <v>1683.16</v>
      </c>
      <c r="I73" s="98">
        <v>1849.82</v>
      </c>
      <c r="J73" s="98">
        <v>1809.57</v>
      </c>
      <c r="K73" s="98">
        <v>1526.87</v>
      </c>
      <c r="L73" s="108">
        <v>1839.77</v>
      </c>
      <c r="M73" s="108">
        <v>1641.28</v>
      </c>
      <c r="N73" s="108">
        <v>1734.27</v>
      </c>
      <c r="O73" s="108">
        <v>2182.29</v>
      </c>
      <c r="P73" s="125">
        <v>1948.4262508181803</v>
      </c>
      <c r="Q73" s="146">
        <v>0</v>
      </c>
      <c r="R73" s="125"/>
      <c r="S73" s="124">
        <f t="shared" si="26"/>
        <v>20761.246250818182</v>
      </c>
      <c r="T73" s="125"/>
      <c r="U73" s="125">
        <v>21318.774280093192</v>
      </c>
      <c r="V73" s="125">
        <f t="shared" si="27"/>
        <v>557.52802927501034</v>
      </c>
      <c r="X73" s="125">
        <v>18338.104645596759</v>
      </c>
      <c r="Y73" s="125">
        <f t="shared" si="28"/>
        <v>-2423.1416052214227</v>
      </c>
      <c r="Z73" s="125"/>
    </row>
    <row r="74" spans="1:26" s="94" customFormat="1" ht="12" customHeight="1" x14ac:dyDescent="0.2">
      <c r="A74" s="161"/>
      <c r="B74" s="161" t="s">
        <v>70</v>
      </c>
      <c r="C74" s="121">
        <v>3311</v>
      </c>
      <c r="D74" s="137" t="s">
        <v>119</v>
      </c>
      <c r="E74" s="151">
        <v>592.20000000000005</v>
      </c>
      <c r="F74" s="151">
        <v>1909.74</v>
      </c>
      <c r="G74" s="151">
        <v>2018.68</v>
      </c>
      <c r="H74" s="151">
        <v>1973.27</v>
      </c>
      <c r="I74" s="98">
        <v>2016.03</v>
      </c>
      <c r="J74" s="98">
        <v>1913.29</v>
      </c>
      <c r="K74" s="98">
        <v>1894.9</v>
      </c>
      <c r="L74" s="108">
        <v>2077.7600000000002</v>
      </c>
      <c r="M74" s="108">
        <v>2060.7399999999998</v>
      </c>
      <c r="N74" s="108">
        <v>1945.64</v>
      </c>
      <c r="O74" s="108">
        <v>2084.85</v>
      </c>
      <c r="P74" s="125">
        <v>2078.2481155492305</v>
      </c>
      <c r="Q74" s="146">
        <v>0</v>
      </c>
      <c r="R74" s="125"/>
      <c r="S74" s="124">
        <f t="shared" si="26"/>
        <v>22565.34811554923</v>
      </c>
      <c r="T74" s="125"/>
      <c r="U74" s="125">
        <v>23179.636995557281</v>
      </c>
      <c r="V74" s="125">
        <f t="shared" si="27"/>
        <v>614.28888000805091</v>
      </c>
      <c r="X74" s="125">
        <v>20553.479793418224</v>
      </c>
      <c r="Y74" s="125">
        <f t="shared" si="28"/>
        <v>-2011.8683221310057</v>
      </c>
      <c r="Z74" s="125"/>
    </row>
    <row r="75" spans="1:26" s="94" customFormat="1" ht="12" customHeight="1" x14ac:dyDescent="0.2">
      <c r="A75" s="161"/>
      <c r="B75" s="161" t="s">
        <v>70</v>
      </c>
      <c r="C75" s="121">
        <v>3401</v>
      </c>
      <c r="D75" s="137" t="s">
        <v>120</v>
      </c>
      <c r="E75" s="151">
        <v>15464.42</v>
      </c>
      <c r="F75" s="151">
        <v>5059.32</v>
      </c>
      <c r="G75" s="151">
        <v>8734.93</v>
      </c>
      <c r="H75" s="151">
        <v>13542.52</v>
      </c>
      <c r="I75" s="98">
        <v>17055.64</v>
      </c>
      <c r="J75" s="98">
        <v>13690.68</v>
      </c>
      <c r="K75" s="98">
        <v>13073.63</v>
      </c>
      <c r="L75" s="108">
        <v>12836.61</v>
      </c>
      <c r="M75" s="108">
        <v>16918.29</v>
      </c>
      <c r="N75" s="108">
        <v>13473.46</v>
      </c>
      <c r="O75" s="108">
        <v>14923.22</v>
      </c>
      <c r="P75" s="125">
        <v>15833.333333333334</v>
      </c>
      <c r="Q75" s="146">
        <v>0</v>
      </c>
      <c r="R75" s="125"/>
      <c r="S75" s="124">
        <f t="shared" si="26"/>
        <v>160606.05333333334</v>
      </c>
      <c r="T75" s="125"/>
      <c r="U75" s="125">
        <v>190000.00000000003</v>
      </c>
      <c r="V75" s="125">
        <f t="shared" si="27"/>
        <v>29393.946666666685</v>
      </c>
      <c r="X75" s="125">
        <v>167688.07999999999</v>
      </c>
      <c r="Y75" s="125">
        <f t="shared" si="28"/>
        <v>7082.026666666643</v>
      </c>
      <c r="Z75" s="125"/>
    </row>
    <row r="76" spans="1:26" s="94" customFormat="1" ht="12" customHeight="1" x14ac:dyDescent="0.2">
      <c r="A76" s="161"/>
      <c r="B76" s="161" t="s">
        <v>70</v>
      </c>
      <c r="C76" s="121">
        <v>3501</v>
      </c>
      <c r="D76" s="137" t="s">
        <v>121</v>
      </c>
      <c r="E76" s="151">
        <v>134.05000000000001</v>
      </c>
      <c r="F76" s="151">
        <v>1109.5899999999999</v>
      </c>
      <c r="G76" s="151">
        <v>296.60000000000002</v>
      </c>
      <c r="H76" s="151">
        <v>57</v>
      </c>
      <c r="I76" s="98">
        <v>206.64</v>
      </c>
      <c r="J76" s="98">
        <v>149.74</v>
      </c>
      <c r="K76" s="98">
        <v>2388.4699999999998</v>
      </c>
      <c r="L76" s="108">
        <v>984.17</v>
      </c>
      <c r="M76" s="108">
        <v>342.95</v>
      </c>
      <c r="N76" s="108">
        <v>398.07</v>
      </c>
      <c r="O76" s="108">
        <v>94.74</v>
      </c>
      <c r="P76" s="164">
        <v>707.84000000000015</v>
      </c>
      <c r="Q76" s="146">
        <v>0</v>
      </c>
      <c r="R76" s="125"/>
      <c r="S76" s="124">
        <f t="shared" si="26"/>
        <v>6869.8599999999988</v>
      </c>
      <c r="T76" s="125"/>
      <c r="U76" s="125">
        <v>14156.800000000003</v>
      </c>
      <c r="V76" s="125">
        <f t="shared" si="27"/>
        <v>7286.9400000000041</v>
      </c>
      <c r="X76" s="125">
        <v>7097.2</v>
      </c>
      <c r="Y76" s="125">
        <f t="shared" si="28"/>
        <v>227.34000000000106</v>
      </c>
      <c r="Z76" s="125"/>
    </row>
    <row r="77" spans="1:26" s="94" customFormat="1" ht="12" customHeight="1" x14ac:dyDescent="0.2">
      <c r="A77" s="161"/>
      <c r="B77" s="161" t="s">
        <v>70</v>
      </c>
      <c r="C77" s="121">
        <v>3601</v>
      </c>
      <c r="D77" s="137" t="s">
        <v>122</v>
      </c>
      <c r="E77" s="151">
        <v>2058.94</v>
      </c>
      <c r="F77" s="151">
        <v>2058.94</v>
      </c>
      <c r="G77" s="151">
        <v>-7949.69</v>
      </c>
      <c r="H77" s="151">
        <v>2058.94</v>
      </c>
      <c r="I77" s="98">
        <v>2058.94</v>
      </c>
      <c r="J77" s="98">
        <v>2058.94</v>
      </c>
      <c r="K77" s="98">
        <v>2058.94</v>
      </c>
      <c r="L77" s="108">
        <v>2058.94</v>
      </c>
      <c r="M77" s="108">
        <v>2058.94</v>
      </c>
      <c r="N77" s="108">
        <v>2058.94</v>
      </c>
      <c r="O77" s="108">
        <v>2058.94</v>
      </c>
      <c r="P77" s="125">
        <v>2006.5843874268433</v>
      </c>
      <c r="Q77" s="146">
        <v>0</v>
      </c>
      <c r="R77" s="125"/>
      <c r="S77" s="124">
        <f t="shared" si="26"/>
        <v>14646.294387426846</v>
      </c>
      <c r="T77" s="125"/>
      <c r="U77" s="125">
        <v>22380.339168124265</v>
      </c>
      <c r="V77" s="125">
        <f t="shared" si="27"/>
        <v>7734.0447806974189</v>
      </c>
      <c r="X77" s="125">
        <v>18478.05290399001</v>
      </c>
      <c r="Y77" s="125">
        <f t="shared" si="28"/>
        <v>3831.7585165631644</v>
      </c>
      <c r="Z77" s="125"/>
    </row>
    <row r="78" spans="1:26" s="94" customFormat="1" ht="12" hidden="1" customHeight="1" x14ac:dyDescent="0.2">
      <c r="A78" s="161"/>
      <c r="B78" s="161" t="s">
        <v>70</v>
      </c>
      <c r="C78" s="121">
        <v>3901</v>
      </c>
      <c r="D78" s="137" t="s">
        <v>123</v>
      </c>
      <c r="E78" s="151">
        <v>0</v>
      </c>
      <c r="F78" s="151">
        <v>0</v>
      </c>
      <c r="G78" s="151">
        <v>0</v>
      </c>
      <c r="H78" s="151">
        <v>0</v>
      </c>
      <c r="I78" s="98">
        <v>0</v>
      </c>
      <c r="J78" s="98"/>
      <c r="K78" s="98"/>
      <c r="L78" s="146">
        <v>0</v>
      </c>
      <c r="M78" s="146">
        <v>0</v>
      </c>
      <c r="N78" s="146">
        <v>0</v>
      </c>
      <c r="O78" s="146">
        <v>0</v>
      </c>
      <c r="P78" s="125">
        <v>0</v>
      </c>
      <c r="Q78" s="146">
        <v>0</v>
      </c>
      <c r="R78" s="125"/>
      <c r="S78" s="124">
        <f t="shared" si="26"/>
        <v>0</v>
      </c>
      <c r="T78" s="125"/>
      <c r="U78" s="125">
        <v>0</v>
      </c>
      <c r="V78" s="125">
        <f t="shared" si="27"/>
        <v>0</v>
      </c>
      <c r="X78" s="125">
        <v>0</v>
      </c>
      <c r="Y78" s="125">
        <f t="shared" si="28"/>
        <v>0</v>
      </c>
      <c r="Z78" s="125"/>
    </row>
    <row r="79" spans="1:26" s="94" customFormat="1" ht="12" customHeight="1" x14ac:dyDescent="0.2">
      <c r="A79" s="161"/>
      <c r="B79" s="161" t="s">
        <v>70</v>
      </c>
      <c r="C79" s="163"/>
      <c r="D79" s="163"/>
      <c r="E79" s="129">
        <f t="shared" ref="E79:Q79" si="29">SUM(E71:E78)</f>
        <v>23523.979999999996</v>
      </c>
      <c r="F79" s="129">
        <f t="shared" si="29"/>
        <v>30733.260000000002</v>
      </c>
      <c r="G79" s="129">
        <f t="shared" si="29"/>
        <v>23588.63</v>
      </c>
      <c r="H79" s="129">
        <f t="shared" si="29"/>
        <v>37795.910000000003</v>
      </c>
      <c r="I79" s="129">
        <f>SUM(I71:I77)</f>
        <v>37888.69</v>
      </c>
      <c r="J79" s="129">
        <f>SUM(J71:J77)</f>
        <v>37210.49</v>
      </c>
      <c r="K79" s="129">
        <f>SUM(K71:K77)</f>
        <v>39143.040000000001</v>
      </c>
      <c r="L79" s="130">
        <f t="shared" si="29"/>
        <v>39280.46</v>
      </c>
      <c r="M79" s="130">
        <f t="shared" si="29"/>
        <v>42777.5</v>
      </c>
      <c r="N79" s="130">
        <f t="shared" si="29"/>
        <v>37766.879999999997</v>
      </c>
      <c r="O79" s="130">
        <f t="shared" si="29"/>
        <v>39903.86</v>
      </c>
      <c r="P79" s="131">
        <f t="shared" si="29"/>
        <v>41510.785104144175</v>
      </c>
      <c r="Q79" s="130">
        <f t="shared" si="29"/>
        <v>0</v>
      </c>
      <c r="R79" s="125"/>
      <c r="S79" s="132">
        <f>SUM(E79:R79)</f>
        <v>431123.4851041442</v>
      </c>
      <c r="T79" s="125"/>
      <c r="U79" s="133">
        <v>483338.31930233468</v>
      </c>
      <c r="V79" s="133">
        <f>SUM(V71:V78)</f>
        <v>52214.834198190678</v>
      </c>
      <c r="X79" s="133">
        <f>SUM(X71:X78)</f>
        <v>414857.61520909431</v>
      </c>
      <c r="Y79" s="133">
        <f>SUM(Y71:Y78)</f>
        <v>-16265.869895049891</v>
      </c>
    </row>
    <row r="80" spans="1:26" s="94" customFormat="1" ht="12" customHeight="1" x14ac:dyDescent="0.2">
      <c r="A80" s="161"/>
      <c r="B80" s="161" t="s">
        <v>124</v>
      </c>
      <c r="C80" s="163"/>
      <c r="D80" s="163"/>
      <c r="E80" s="151"/>
      <c r="F80" s="151"/>
      <c r="G80" s="151"/>
      <c r="H80" s="151"/>
      <c r="I80" s="98"/>
      <c r="J80" s="98"/>
      <c r="K80" s="98"/>
      <c r="L80" s="146"/>
      <c r="M80" s="146"/>
      <c r="N80" s="146"/>
      <c r="O80" s="146"/>
      <c r="P80" s="125"/>
      <c r="Q80" s="146"/>
      <c r="R80" s="125"/>
      <c r="S80" s="194">
        <f>(S62+S64)/(S62+S69)</f>
        <v>0.92085285468462974</v>
      </c>
      <c r="T80" s="125"/>
      <c r="U80" s="125"/>
      <c r="V80" s="125"/>
      <c r="X80" s="125"/>
      <c r="Y80" s="125"/>
    </row>
    <row r="81" spans="1:27" s="94" customFormat="1" ht="12" customHeight="1" x14ac:dyDescent="0.2">
      <c r="A81" s="161"/>
      <c r="B81" s="161" t="s">
        <v>70</v>
      </c>
      <c r="C81" s="121">
        <v>4100</v>
      </c>
      <c r="D81" s="165" t="s">
        <v>125</v>
      </c>
      <c r="E81" s="166">
        <v>1364.07</v>
      </c>
      <c r="F81" s="166">
        <v>8395.4</v>
      </c>
      <c r="G81" s="166">
        <v>2625.01</v>
      </c>
      <c r="H81" s="166">
        <v>2276.08</v>
      </c>
      <c r="I81" s="98">
        <v>2276.08</v>
      </c>
      <c r="J81" s="98">
        <v>2276.08</v>
      </c>
      <c r="K81" s="108">
        <v>5782.36</v>
      </c>
      <c r="L81" s="108">
        <v>2195.64</v>
      </c>
      <c r="M81" s="108">
        <v>2195.64</v>
      </c>
      <c r="N81" s="108">
        <v>2195.64</v>
      </c>
      <c r="O81" s="108">
        <v>2195.64</v>
      </c>
      <c r="P81" s="167">
        <v>0</v>
      </c>
      <c r="Q81" s="146">
        <v>0</v>
      </c>
      <c r="R81" s="125"/>
      <c r="S81" s="124">
        <f t="shared" ref="S81:S89" si="30">SUM(E81:Q81)</f>
        <v>33777.64</v>
      </c>
      <c r="T81" s="125"/>
      <c r="U81" s="125">
        <v>27560</v>
      </c>
      <c r="V81" s="125">
        <f t="shared" ref="V81:V89" si="31">U81-S81</f>
        <v>-6217.6399999999994</v>
      </c>
      <c r="X81" s="125">
        <v>41165.18</v>
      </c>
      <c r="Y81" s="125">
        <f t="shared" ref="Y81:Y89" si="32">X81-S81</f>
        <v>7387.5400000000009</v>
      </c>
      <c r="Z81" s="94">
        <v>27190.720000000001</v>
      </c>
      <c r="AA81" s="125">
        <f>S81-Z81</f>
        <v>6586.9199999999983</v>
      </c>
    </row>
    <row r="82" spans="1:27" s="94" customFormat="1" ht="12" hidden="1" customHeight="1" x14ac:dyDescent="0.2">
      <c r="A82" s="161"/>
      <c r="B82" s="161" t="s">
        <v>70</v>
      </c>
      <c r="C82" s="121">
        <v>4200</v>
      </c>
      <c r="D82" s="165" t="s">
        <v>126</v>
      </c>
      <c r="E82" s="166">
        <v>0</v>
      </c>
      <c r="F82" s="166">
        <v>0</v>
      </c>
      <c r="G82" s="166">
        <v>0</v>
      </c>
      <c r="H82" s="166">
        <v>0</v>
      </c>
      <c r="I82" s="98">
        <v>0</v>
      </c>
      <c r="J82" s="98">
        <v>0</v>
      </c>
      <c r="K82" s="98">
        <v>0</v>
      </c>
      <c r="L82" s="168">
        <v>0</v>
      </c>
      <c r="M82" s="168">
        <v>0</v>
      </c>
      <c r="N82" s="168">
        <v>0</v>
      </c>
      <c r="O82" s="168">
        <v>0</v>
      </c>
      <c r="P82" s="167">
        <v>0</v>
      </c>
      <c r="Q82" s="146">
        <v>0</v>
      </c>
      <c r="R82" s="125"/>
      <c r="S82" s="124">
        <f t="shared" si="30"/>
        <v>0</v>
      </c>
      <c r="T82" s="125"/>
      <c r="U82" s="125">
        <v>0</v>
      </c>
      <c r="V82" s="125">
        <f t="shared" si="31"/>
        <v>0</v>
      </c>
      <c r="X82" s="125">
        <v>0</v>
      </c>
      <c r="Y82" s="125">
        <f t="shared" si="32"/>
        <v>0</v>
      </c>
      <c r="Z82" s="94">
        <v>0</v>
      </c>
      <c r="AA82" s="125">
        <f t="shared" ref="AA82:AA89" si="33">S82-Z82</f>
        <v>0</v>
      </c>
    </row>
    <row r="83" spans="1:27" s="94" customFormat="1" ht="12" customHeight="1" x14ac:dyDescent="0.2">
      <c r="A83" s="161"/>
      <c r="B83" s="161" t="s">
        <v>70</v>
      </c>
      <c r="C83" s="121">
        <v>4302</v>
      </c>
      <c r="D83" s="165" t="s">
        <v>127</v>
      </c>
      <c r="E83" s="166">
        <v>0</v>
      </c>
      <c r="F83" s="166">
        <v>147.1</v>
      </c>
      <c r="G83" s="166">
        <v>1707.37</v>
      </c>
      <c r="H83" s="166">
        <v>3930.82</v>
      </c>
      <c r="I83" s="98">
        <v>784.36</v>
      </c>
      <c r="J83" s="108">
        <v>10991.31</v>
      </c>
      <c r="K83" s="98">
        <v>2339.7800000000002</v>
      </c>
      <c r="L83" s="108">
        <v>2864.49</v>
      </c>
      <c r="M83" s="108">
        <v>7971.41</v>
      </c>
      <c r="N83" s="108">
        <v>118.41</v>
      </c>
      <c r="O83" s="108">
        <v>210</v>
      </c>
      <c r="P83" s="167">
        <v>608.33333333333337</v>
      </c>
      <c r="Q83" s="146">
        <v>0</v>
      </c>
      <c r="R83" s="125"/>
      <c r="S83" s="124">
        <f t="shared" si="30"/>
        <v>31673.383333333328</v>
      </c>
      <c r="T83" s="125"/>
      <c r="U83" s="125">
        <v>8300.0000000000018</v>
      </c>
      <c r="V83" s="125">
        <f t="shared" si="31"/>
        <v>-23373.383333333324</v>
      </c>
      <c r="X83" s="125">
        <v>8085.33</v>
      </c>
      <c r="Y83" s="125">
        <f t="shared" si="32"/>
        <v>-23588.05333333333</v>
      </c>
      <c r="Z83" s="94">
        <v>25098.563333333324</v>
      </c>
      <c r="AA83" s="125">
        <f t="shared" si="33"/>
        <v>6574.8200000000033</v>
      </c>
    </row>
    <row r="84" spans="1:27" s="94" customFormat="1" ht="12" customHeight="1" x14ac:dyDescent="0.2">
      <c r="A84" s="161"/>
      <c r="B84" s="161" t="s">
        <v>70</v>
      </c>
      <c r="C84" s="121">
        <v>4305</v>
      </c>
      <c r="D84" s="165" t="s">
        <v>128</v>
      </c>
      <c r="E84" s="166">
        <v>6317.66</v>
      </c>
      <c r="F84" s="166">
        <v>1607.49</v>
      </c>
      <c r="G84" s="166">
        <v>2199.4699999999998</v>
      </c>
      <c r="H84" s="166">
        <v>7886.66</v>
      </c>
      <c r="I84" s="98">
        <v>3364.56</v>
      </c>
      <c r="J84" s="98">
        <v>3199.1</v>
      </c>
      <c r="K84" s="98">
        <v>4058.02</v>
      </c>
      <c r="L84" s="108">
        <v>3272.32</v>
      </c>
      <c r="M84" s="108">
        <v>5033.12</v>
      </c>
      <c r="N84" s="108">
        <v>3087.24</v>
      </c>
      <c r="O84" s="108">
        <v>3087.24</v>
      </c>
      <c r="P84" s="167">
        <v>5175</v>
      </c>
      <c r="Q84" s="146">
        <v>0</v>
      </c>
      <c r="R84" s="125"/>
      <c r="S84" s="124">
        <f t="shared" si="30"/>
        <v>48287.88</v>
      </c>
      <c r="T84" s="125"/>
      <c r="U84" s="125">
        <v>70999.999999999985</v>
      </c>
      <c r="V84" s="125">
        <f t="shared" si="31"/>
        <v>22712.119999999988</v>
      </c>
      <c r="X84" s="125">
        <v>68957.62</v>
      </c>
      <c r="Y84" s="125">
        <f t="shared" si="32"/>
        <v>20669.739999999998</v>
      </c>
      <c r="Z84" s="94">
        <v>51705.279999999999</v>
      </c>
      <c r="AA84" s="125">
        <f t="shared" si="33"/>
        <v>-3417.4000000000015</v>
      </c>
    </row>
    <row r="85" spans="1:27" s="94" customFormat="1" ht="12" customHeight="1" x14ac:dyDescent="0.2">
      <c r="A85" s="161"/>
      <c r="B85" s="161" t="s">
        <v>70</v>
      </c>
      <c r="C85" s="121">
        <v>4310</v>
      </c>
      <c r="D85" s="165" t="s">
        <v>129</v>
      </c>
      <c r="E85" s="166">
        <v>365</v>
      </c>
      <c r="F85" s="166">
        <v>2508.5700000000002</v>
      </c>
      <c r="G85" s="166">
        <v>18734.54</v>
      </c>
      <c r="H85" s="166">
        <v>1840.01</v>
      </c>
      <c r="I85" s="98">
        <v>28217.05</v>
      </c>
      <c r="J85" s="98">
        <v>252.61</v>
      </c>
      <c r="K85" s="108">
        <v>11199.17</v>
      </c>
      <c r="L85" s="108">
        <v>2534.34</v>
      </c>
      <c r="M85" s="108">
        <v>21373.52</v>
      </c>
      <c r="N85" s="108">
        <v>435.5</v>
      </c>
      <c r="O85" s="108">
        <v>2444.9699999999998</v>
      </c>
      <c r="P85" s="167">
        <v>2400</v>
      </c>
      <c r="Q85" s="146">
        <v>0</v>
      </c>
      <c r="R85" s="125"/>
      <c r="S85" s="124">
        <f>SUM(E85:Q85)</f>
        <v>92305.279999999999</v>
      </c>
      <c r="T85" s="125"/>
      <c r="U85" s="125">
        <v>32900.000000000007</v>
      </c>
      <c r="V85" s="125">
        <f>U85-S85</f>
        <v>-59405.279999999992</v>
      </c>
      <c r="X85" s="125">
        <v>31945.39</v>
      </c>
      <c r="Y85" s="125">
        <f>X85-S85</f>
        <v>-60359.89</v>
      </c>
      <c r="Z85" s="94">
        <v>74817.95666666668</v>
      </c>
      <c r="AA85" s="125">
        <f t="shared" si="33"/>
        <v>17487.323333333319</v>
      </c>
    </row>
    <row r="86" spans="1:27" s="94" customFormat="1" ht="12" customHeight="1" x14ac:dyDescent="0.2">
      <c r="A86" s="161"/>
      <c r="B86" s="161" t="s">
        <v>70</v>
      </c>
      <c r="C86" s="121">
        <v>4311</v>
      </c>
      <c r="D86" s="165" t="s">
        <v>130</v>
      </c>
      <c r="E86" s="166">
        <v>0</v>
      </c>
      <c r="F86" s="166">
        <v>0</v>
      </c>
      <c r="G86" s="166">
        <v>610.54999999999995</v>
      </c>
      <c r="H86" s="166">
        <v>52.63</v>
      </c>
      <c r="I86" s="98">
        <v>195.84</v>
      </c>
      <c r="J86" s="98">
        <v>0</v>
      </c>
      <c r="K86" s="98">
        <v>1766.91</v>
      </c>
      <c r="L86" s="108">
        <v>92.45</v>
      </c>
      <c r="M86" s="108">
        <v>615.37</v>
      </c>
      <c r="N86" s="108">
        <v>32.299999999999997</v>
      </c>
      <c r="O86" s="108">
        <v>374.33</v>
      </c>
      <c r="P86" s="167">
        <v>108.33333333333333</v>
      </c>
      <c r="Q86" s="146">
        <v>0</v>
      </c>
      <c r="R86" s="125"/>
      <c r="S86" s="124">
        <f>SUM(E86:Q86)</f>
        <v>3848.7133333333336</v>
      </c>
      <c r="T86" s="125"/>
      <c r="U86" s="125">
        <v>1500</v>
      </c>
      <c r="V86" s="125">
        <f>U86-S86</f>
        <v>-2348.7133333333336</v>
      </c>
      <c r="X86" s="125">
        <v>1484.51</v>
      </c>
      <c r="Y86" s="125">
        <f>X86-S86</f>
        <v>-2364.2033333333338</v>
      </c>
      <c r="Z86" s="94">
        <v>3151.713333333334</v>
      </c>
      <c r="AA86" s="125">
        <f t="shared" si="33"/>
        <v>696.99999999999955</v>
      </c>
    </row>
    <row r="87" spans="1:27" s="94" customFormat="1" ht="12" hidden="1" customHeight="1" x14ac:dyDescent="0.2">
      <c r="A87" s="161"/>
      <c r="B87" s="161" t="s">
        <v>70</v>
      </c>
      <c r="C87" s="121">
        <v>4312</v>
      </c>
      <c r="D87" s="165" t="s">
        <v>131</v>
      </c>
      <c r="E87" s="166">
        <v>0</v>
      </c>
      <c r="F87" s="166">
        <v>0</v>
      </c>
      <c r="G87" s="166">
        <v>0</v>
      </c>
      <c r="H87" s="166">
        <v>0</v>
      </c>
      <c r="I87" s="98">
        <v>0</v>
      </c>
      <c r="J87" s="98">
        <v>0</v>
      </c>
      <c r="K87" s="98">
        <v>0</v>
      </c>
      <c r="L87" s="168">
        <v>0</v>
      </c>
      <c r="M87" s="168">
        <v>0</v>
      </c>
      <c r="N87" s="168">
        <v>0</v>
      </c>
      <c r="O87" s="168">
        <v>0</v>
      </c>
      <c r="P87" s="167">
        <v>0</v>
      </c>
      <c r="Q87" s="146">
        <v>0</v>
      </c>
      <c r="R87" s="125"/>
      <c r="S87" s="124">
        <f>SUM(E87:Q87)</f>
        <v>0</v>
      </c>
      <c r="T87" s="125"/>
      <c r="U87" s="125">
        <v>0</v>
      </c>
      <c r="V87" s="125">
        <f>U87-S87</f>
        <v>0</v>
      </c>
      <c r="X87" s="125">
        <v>0</v>
      </c>
      <c r="Y87" s="125">
        <f>X87-S87</f>
        <v>0</v>
      </c>
      <c r="Z87" s="94">
        <v>0</v>
      </c>
      <c r="AA87" s="125">
        <f t="shared" si="33"/>
        <v>0</v>
      </c>
    </row>
    <row r="88" spans="1:27" s="94" customFormat="1" ht="12" customHeight="1" x14ac:dyDescent="0.2">
      <c r="A88" s="161"/>
      <c r="B88" s="161" t="s">
        <v>70</v>
      </c>
      <c r="C88" s="121">
        <v>4400</v>
      </c>
      <c r="D88" s="165" t="s">
        <v>132</v>
      </c>
      <c r="E88" s="166">
        <v>0</v>
      </c>
      <c r="F88" s="166">
        <v>0</v>
      </c>
      <c r="G88" s="166">
        <v>1837.43</v>
      </c>
      <c r="H88" s="166">
        <v>0</v>
      </c>
      <c r="I88" s="98">
        <v>163.16</v>
      </c>
      <c r="J88" s="98">
        <v>0</v>
      </c>
      <c r="K88" s="98">
        <v>4028.08</v>
      </c>
      <c r="L88" s="108">
        <v>1346.84</v>
      </c>
      <c r="M88" s="108">
        <v>1275.17</v>
      </c>
      <c r="N88" s="108">
        <v>1908.96</v>
      </c>
      <c r="O88" s="108">
        <v>0</v>
      </c>
      <c r="P88" s="167">
        <v>0</v>
      </c>
      <c r="Q88" s="146">
        <v>280963.71999999997</v>
      </c>
      <c r="R88" s="125"/>
      <c r="S88" s="124">
        <f t="shared" si="30"/>
        <v>291523.36</v>
      </c>
      <c r="T88" s="125"/>
      <c r="U88" s="125">
        <v>1360689</v>
      </c>
      <c r="V88" s="125">
        <f t="shared" si="31"/>
        <v>1069165.6400000001</v>
      </c>
      <c r="X88" s="125">
        <v>249437.57</v>
      </c>
      <c r="Y88" s="125">
        <f t="shared" si="32"/>
        <v>-42085.789999999979</v>
      </c>
      <c r="Z88" s="94">
        <v>1077139.17</v>
      </c>
      <c r="AA88" s="125">
        <f t="shared" si="33"/>
        <v>-785615.80999999994</v>
      </c>
    </row>
    <row r="89" spans="1:27" s="94" customFormat="1" ht="12" customHeight="1" x14ac:dyDescent="0.2">
      <c r="A89" s="161"/>
      <c r="B89" s="161" t="s">
        <v>70</v>
      </c>
      <c r="C89" s="121">
        <v>4700</v>
      </c>
      <c r="D89" s="165" t="s">
        <v>133</v>
      </c>
      <c r="E89" s="166">
        <v>0</v>
      </c>
      <c r="F89" s="166">
        <v>292.8</v>
      </c>
      <c r="G89" s="166">
        <v>23067.3</v>
      </c>
      <c r="H89" s="166">
        <v>24618</v>
      </c>
      <c r="I89" s="98">
        <v>22805.040000000001</v>
      </c>
      <c r="J89" s="108">
        <v>15250.44</v>
      </c>
      <c r="K89" s="98">
        <v>13356.39</v>
      </c>
      <c r="L89" s="108">
        <v>15703.62</v>
      </c>
      <c r="M89" s="108">
        <v>21283.65</v>
      </c>
      <c r="N89" s="108">
        <v>20727.03</v>
      </c>
      <c r="O89" s="108">
        <v>8170.86</v>
      </c>
      <c r="P89" s="167">
        <v>23628.294004905183</v>
      </c>
      <c r="Q89" s="146">
        <f>215656-195192</f>
        <v>20464</v>
      </c>
      <c r="R89" s="125"/>
      <c r="S89" s="124">
        <f t="shared" si="30"/>
        <v>209367.42400490516</v>
      </c>
      <c r="T89" s="125"/>
      <c r="U89" s="125">
        <v>104731.73734275003</v>
      </c>
      <c r="V89" s="125">
        <f t="shared" si="31"/>
        <v>-104635.68666215513</v>
      </c>
      <c r="X89" s="125">
        <v>106335.76070947929</v>
      </c>
      <c r="Y89" s="125">
        <f t="shared" si="32"/>
        <v>-103031.66329542587</v>
      </c>
      <c r="Z89" s="94">
        <v>199376.11893636305</v>
      </c>
      <c r="AA89" s="125">
        <f t="shared" si="33"/>
        <v>9991.305068542104</v>
      </c>
    </row>
    <row r="90" spans="1:27" s="94" customFormat="1" ht="12" customHeight="1" x14ac:dyDescent="0.2">
      <c r="A90" s="161"/>
      <c r="B90" s="161" t="s">
        <v>70</v>
      </c>
      <c r="C90" s="163"/>
      <c r="D90" s="163"/>
      <c r="E90" s="129">
        <f t="shared" ref="E90:Q90" si="34">SUM(E81:E89)</f>
        <v>8046.73</v>
      </c>
      <c r="F90" s="129">
        <f t="shared" si="34"/>
        <v>12951.359999999999</v>
      </c>
      <c r="G90" s="129">
        <f t="shared" si="34"/>
        <v>50781.67</v>
      </c>
      <c r="H90" s="129">
        <f t="shared" si="34"/>
        <v>40604.199999999997</v>
      </c>
      <c r="I90" s="129">
        <f t="shared" si="34"/>
        <v>57806.090000000004</v>
      </c>
      <c r="J90" s="129">
        <f t="shared" si="34"/>
        <v>31969.54</v>
      </c>
      <c r="K90" s="129">
        <f t="shared" si="34"/>
        <v>42530.71</v>
      </c>
      <c r="L90" s="130">
        <f t="shared" si="34"/>
        <v>28009.7</v>
      </c>
      <c r="M90" s="130">
        <f t="shared" si="34"/>
        <v>59747.880000000005</v>
      </c>
      <c r="N90" s="130">
        <f t="shared" si="34"/>
        <v>28505.079999999998</v>
      </c>
      <c r="O90" s="130">
        <f t="shared" si="34"/>
        <v>16483.039999999997</v>
      </c>
      <c r="P90" s="131">
        <f t="shared" si="34"/>
        <v>31919.960671571847</v>
      </c>
      <c r="Q90" s="130">
        <f t="shared" si="34"/>
        <v>301427.71999999997</v>
      </c>
      <c r="R90" s="125"/>
      <c r="S90" s="132">
        <f>SUM(E90:R90)</f>
        <v>710783.68067157175</v>
      </c>
      <c r="T90" s="125"/>
      <c r="U90" s="133">
        <v>1606680.7373427497</v>
      </c>
      <c r="V90" s="133">
        <f>SUM(V81:V89)</f>
        <v>895897.05667117843</v>
      </c>
      <c r="X90" s="133">
        <f>SUM(X81:X89)</f>
        <v>507411.36070947931</v>
      </c>
      <c r="Y90" s="133">
        <f>SUM(Y81:Y89)</f>
        <v>-203372.3199620925</v>
      </c>
    </row>
    <row r="91" spans="1:27" s="94" customFormat="1" ht="12" customHeight="1" x14ac:dyDescent="0.2">
      <c r="A91" s="161"/>
      <c r="B91" s="161" t="s">
        <v>134</v>
      </c>
      <c r="C91" s="163"/>
      <c r="D91" s="163"/>
      <c r="E91" s="151"/>
      <c r="F91" s="151"/>
      <c r="G91" s="151"/>
      <c r="H91" s="151"/>
      <c r="I91" s="98"/>
      <c r="J91" s="98"/>
      <c r="K91" s="98"/>
      <c r="L91" s="146"/>
      <c r="M91" s="146"/>
      <c r="N91" s="146"/>
      <c r="O91" s="146"/>
      <c r="P91" s="125"/>
      <c r="Q91" s="146"/>
      <c r="R91" s="125"/>
      <c r="S91" s="136"/>
      <c r="T91" s="125"/>
      <c r="U91" s="125"/>
      <c r="V91" s="125"/>
      <c r="X91" s="125"/>
      <c r="Y91" s="125"/>
    </row>
    <row r="92" spans="1:27" s="94" customFormat="1" ht="12" hidden="1" customHeight="1" x14ac:dyDescent="0.2">
      <c r="A92" s="161"/>
      <c r="B92" s="161" t="s">
        <v>70</v>
      </c>
      <c r="C92" s="121">
        <v>5101</v>
      </c>
      <c r="D92" s="165" t="s">
        <v>135</v>
      </c>
      <c r="E92" s="166">
        <v>0</v>
      </c>
      <c r="F92" s="166">
        <v>0</v>
      </c>
      <c r="G92" s="166">
        <v>0</v>
      </c>
      <c r="H92" s="166">
        <v>0</v>
      </c>
      <c r="I92" s="98">
        <v>0</v>
      </c>
      <c r="J92" s="98">
        <v>0</v>
      </c>
      <c r="K92" s="98">
        <v>0</v>
      </c>
      <c r="L92" s="168">
        <v>0</v>
      </c>
      <c r="M92" s="168">
        <v>0</v>
      </c>
      <c r="N92" s="168">
        <v>0</v>
      </c>
      <c r="O92" s="168">
        <v>0</v>
      </c>
      <c r="P92" s="167">
        <v>0</v>
      </c>
      <c r="Q92" s="146">
        <v>0</v>
      </c>
      <c r="R92" s="125"/>
      <c r="S92" s="124">
        <f t="shared" ref="S92:S97" si="35">SUM(E92:Q92)</f>
        <v>0</v>
      </c>
      <c r="T92" s="125"/>
      <c r="U92" s="125">
        <v>0</v>
      </c>
      <c r="V92" s="125">
        <f t="shared" ref="V92:V97" si="36">U92-S92</f>
        <v>0</v>
      </c>
      <c r="X92" s="125">
        <v>0</v>
      </c>
      <c r="Y92" s="125">
        <f t="shared" ref="Y92:Y97" si="37">X92-S92</f>
        <v>0</v>
      </c>
    </row>
    <row r="93" spans="1:27" s="94" customFormat="1" ht="12" customHeight="1" x14ac:dyDescent="0.2">
      <c r="A93" s="161"/>
      <c r="B93" s="161" t="s">
        <v>70</v>
      </c>
      <c r="C93" s="121">
        <v>5102</v>
      </c>
      <c r="D93" s="165" t="s">
        <v>136</v>
      </c>
      <c r="E93" s="166">
        <v>0</v>
      </c>
      <c r="F93" s="166">
        <v>800</v>
      </c>
      <c r="G93" s="166">
        <v>2701.45</v>
      </c>
      <c r="H93" s="166">
        <v>6268.85</v>
      </c>
      <c r="I93" s="98">
        <v>7368.75</v>
      </c>
      <c r="J93" s="108">
        <v>7477.71</v>
      </c>
      <c r="K93" s="98">
        <v>57686.9</v>
      </c>
      <c r="L93" s="108">
        <v>10353.459999999999</v>
      </c>
      <c r="M93" s="108">
        <v>37543.1</v>
      </c>
      <c r="N93" s="108">
        <v>28553.35</v>
      </c>
      <c r="O93" s="108">
        <v>27951.35</v>
      </c>
      <c r="P93" s="167">
        <v>20627.272727272728</v>
      </c>
      <c r="Q93" s="146">
        <v>19567.807272727252</v>
      </c>
      <c r="R93" s="125"/>
      <c r="S93" s="124">
        <f t="shared" si="35"/>
        <v>226900</v>
      </c>
      <c r="T93" s="125"/>
      <c r="U93" s="125">
        <v>259399.99999999997</v>
      </c>
      <c r="V93" s="125">
        <f t="shared" si="36"/>
        <v>32499.999999999971</v>
      </c>
      <c r="X93" s="125">
        <v>251900</v>
      </c>
      <c r="Y93" s="125">
        <f t="shared" si="37"/>
        <v>25000</v>
      </c>
    </row>
    <row r="94" spans="1:27" s="94" customFormat="1" ht="12" customHeight="1" x14ac:dyDescent="0.2">
      <c r="A94" s="161"/>
      <c r="B94" s="161" t="s">
        <v>70</v>
      </c>
      <c r="C94" s="121">
        <v>5103</v>
      </c>
      <c r="D94" s="165" t="s">
        <v>137</v>
      </c>
      <c r="E94" s="166">
        <v>0</v>
      </c>
      <c r="F94" s="166">
        <v>6747.56</v>
      </c>
      <c r="G94" s="166">
        <v>15330.09</v>
      </c>
      <c r="H94" s="166">
        <v>7637.91</v>
      </c>
      <c r="I94" s="98">
        <v>11758.25</v>
      </c>
      <c r="J94" s="108">
        <v>9245.4699999999993</v>
      </c>
      <c r="K94" s="98">
        <v>1481.76</v>
      </c>
      <c r="L94" s="108">
        <v>5830.89</v>
      </c>
      <c r="M94" s="108">
        <v>12359.48</v>
      </c>
      <c r="N94" s="108">
        <v>12354.08</v>
      </c>
      <c r="O94" s="108">
        <v>7101.79</v>
      </c>
      <c r="P94" s="167">
        <v>7909.090909090909</v>
      </c>
      <c r="Q94" s="146">
        <v>0</v>
      </c>
      <c r="R94" s="125"/>
      <c r="S94" s="124">
        <f t="shared" si="35"/>
        <v>97756.370909090911</v>
      </c>
      <c r="T94" s="125"/>
      <c r="U94" s="125">
        <v>61799.999999999985</v>
      </c>
      <c r="V94" s="125">
        <f t="shared" si="36"/>
        <v>-35956.370909090925</v>
      </c>
      <c r="X94" s="125">
        <v>60000</v>
      </c>
      <c r="Y94" s="125">
        <f t="shared" si="37"/>
        <v>-37756.370909090911</v>
      </c>
    </row>
    <row r="95" spans="1:27" s="94" customFormat="1" ht="12" customHeight="1" x14ac:dyDescent="0.2">
      <c r="A95" s="161"/>
      <c r="B95" s="161" t="s">
        <v>70</v>
      </c>
      <c r="C95" s="121">
        <v>5104</v>
      </c>
      <c r="D95" s="165" t="s">
        <v>138</v>
      </c>
      <c r="E95" s="166">
        <v>0</v>
      </c>
      <c r="F95" s="166">
        <v>0</v>
      </c>
      <c r="G95" s="166">
        <v>0</v>
      </c>
      <c r="H95" s="166">
        <v>0</v>
      </c>
      <c r="I95" s="98">
        <v>0</v>
      </c>
      <c r="J95" s="98">
        <v>0</v>
      </c>
      <c r="K95" s="98">
        <v>0</v>
      </c>
      <c r="L95" s="108">
        <v>0</v>
      </c>
      <c r="M95" s="108">
        <v>0</v>
      </c>
      <c r="N95" s="108">
        <v>0</v>
      </c>
      <c r="O95" s="108">
        <v>0</v>
      </c>
      <c r="P95" s="167">
        <v>36.363636363636367</v>
      </c>
      <c r="Q95" s="146">
        <v>0</v>
      </c>
      <c r="R95" s="125"/>
      <c r="S95" s="124">
        <f t="shared" si="35"/>
        <v>36.363636363636367</v>
      </c>
      <c r="T95" s="125"/>
      <c r="U95" s="125">
        <v>400.00000000000006</v>
      </c>
      <c r="V95" s="125">
        <f t="shared" si="36"/>
        <v>363.63636363636368</v>
      </c>
      <c r="X95" s="125">
        <v>392.72727272727275</v>
      </c>
      <c r="Y95" s="125">
        <f t="shared" si="37"/>
        <v>356.36363636363637</v>
      </c>
    </row>
    <row r="96" spans="1:27" s="94" customFormat="1" ht="12" customHeight="1" x14ac:dyDescent="0.2">
      <c r="A96" s="161"/>
      <c r="B96" s="161" t="s">
        <v>70</v>
      </c>
      <c r="C96" s="121">
        <v>5105</v>
      </c>
      <c r="D96" s="165" t="s">
        <v>139</v>
      </c>
      <c r="E96" s="166">
        <v>90</v>
      </c>
      <c r="F96" s="166">
        <v>0</v>
      </c>
      <c r="G96" s="166">
        <v>0</v>
      </c>
      <c r="H96" s="166">
        <v>1151</v>
      </c>
      <c r="I96" s="98">
        <v>0</v>
      </c>
      <c r="J96" s="98">
        <v>0</v>
      </c>
      <c r="K96" s="98">
        <v>90</v>
      </c>
      <c r="L96" s="108">
        <v>0</v>
      </c>
      <c r="M96" s="108">
        <v>0</v>
      </c>
      <c r="N96" s="108">
        <v>90</v>
      </c>
      <c r="O96" s="108">
        <v>345</v>
      </c>
      <c r="P96" s="167">
        <v>0</v>
      </c>
      <c r="Q96" s="146">
        <v>0</v>
      </c>
      <c r="R96" s="125"/>
      <c r="S96" s="124">
        <f t="shared" si="35"/>
        <v>1766</v>
      </c>
      <c r="T96" s="125"/>
      <c r="U96" s="125">
        <v>0</v>
      </c>
      <c r="V96" s="125">
        <f t="shared" si="36"/>
        <v>-1766</v>
      </c>
      <c r="X96" s="125">
        <v>0</v>
      </c>
      <c r="Y96" s="125">
        <f t="shared" si="37"/>
        <v>-1766</v>
      </c>
    </row>
    <row r="97" spans="1:31" s="94" customFormat="1" ht="12" customHeight="1" x14ac:dyDescent="0.2">
      <c r="A97" s="161"/>
      <c r="B97" s="161" t="s">
        <v>70</v>
      </c>
      <c r="C97" s="121">
        <v>5106</v>
      </c>
      <c r="D97" s="165" t="s">
        <v>140</v>
      </c>
      <c r="E97" s="166">
        <v>0</v>
      </c>
      <c r="F97" s="166">
        <v>0</v>
      </c>
      <c r="G97" s="166">
        <v>33736.239999999998</v>
      </c>
      <c r="H97" s="166">
        <v>26719.11</v>
      </c>
      <c r="I97" s="98">
        <v>0</v>
      </c>
      <c r="J97" s="98">
        <v>38661.74</v>
      </c>
      <c r="K97" s="98">
        <v>19510.87</v>
      </c>
      <c r="L97" s="108">
        <v>0</v>
      </c>
      <c r="M97" s="108">
        <v>36198.99</v>
      </c>
      <c r="N97" s="108">
        <v>19330.87</v>
      </c>
      <c r="O97" s="108">
        <v>19330.87</v>
      </c>
      <c r="P97" s="167">
        <v>20660</v>
      </c>
      <c r="Q97" s="146">
        <v>20660</v>
      </c>
      <c r="R97" s="125"/>
      <c r="S97" s="124">
        <f t="shared" si="35"/>
        <v>234808.68999999997</v>
      </c>
      <c r="T97" s="125"/>
      <c r="U97" s="125">
        <v>235000</v>
      </c>
      <c r="V97" s="125">
        <f t="shared" si="36"/>
        <v>191.31000000002678</v>
      </c>
      <c r="X97" s="125">
        <v>228163.52999999997</v>
      </c>
      <c r="Y97" s="125">
        <f t="shared" si="37"/>
        <v>-6645.1600000000035</v>
      </c>
    </row>
    <row r="98" spans="1:31" s="94" customFormat="1" ht="12" customHeight="1" x14ac:dyDescent="0.2">
      <c r="A98" s="161"/>
      <c r="B98" s="161" t="s">
        <v>70</v>
      </c>
      <c r="C98" s="163"/>
      <c r="D98" s="163"/>
      <c r="E98" s="129">
        <f t="shared" ref="E98:Q98" si="38">SUM(E92:E97)</f>
        <v>90</v>
      </c>
      <c r="F98" s="129">
        <f t="shared" si="38"/>
        <v>7547.56</v>
      </c>
      <c r="G98" s="129">
        <f t="shared" si="38"/>
        <v>51767.78</v>
      </c>
      <c r="H98" s="129">
        <f t="shared" si="38"/>
        <v>41776.870000000003</v>
      </c>
      <c r="I98" s="129">
        <f t="shared" si="38"/>
        <v>19127</v>
      </c>
      <c r="J98" s="129">
        <f t="shared" si="38"/>
        <v>55384.92</v>
      </c>
      <c r="K98" s="129">
        <f t="shared" si="38"/>
        <v>78769.53</v>
      </c>
      <c r="L98" s="130">
        <f t="shared" si="38"/>
        <v>16184.349999999999</v>
      </c>
      <c r="M98" s="130">
        <f t="shared" si="38"/>
        <v>86101.57</v>
      </c>
      <c r="N98" s="130">
        <f t="shared" si="38"/>
        <v>60328.3</v>
      </c>
      <c r="O98" s="130">
        <f t="shared" si="38"/>
        <v>54729.009999999995</v>
      </c>
      <c r="P98" s="131">
        <f t="shared" si="38"/>
        <v>49232.727272727272</v>
      </c>
      <c r="Q98" s="130">
        <f t="shared" si="38"/>
        <v>40227.807272727252</v>
      </c>
      <c r="R98" s="125"/>
      <c r="S98" s="132">
        <f>SUM(E98:R98)</f>
        <v>561267.42454545456</v>
      </c>
      <c r="T98" s="158">
        <f>SUM(T92:T97)</f>
        <v>0</v>
      </c>
      <c r="U98" s="133">
        <v>556600</v>
      </c>
      <c r="V98" s="133">
        <f>SUM(V92:V97)</f>
        <v>-4667.4245454545635</v>
      </c>
      <c r="X98" s="133">
        <f>SUM(X92:X97)</f>
        <v>540456.25727272732</v>
      </c>
      <c r="Y98" s="133">
        <f>SUM(Y92:Y97)</f>
        <v>-20811.167272727278</v>
      </c>
    </row>
    <row r="99" spans="1:31" s="94" customFormat="1" ht="12" customHeight="1" x14ac:dyDescent="0.2">
      <c r="A99" s="161"/>
      <c r="B99" s="161" t="s">
        <v>141</v>
      </c>
      <c r="C99" s="163"/>
      <c r="D99" s="163"/>
      <c r="E99" s="151"/>
      <c r="F99" s="151"/>
      <c r="G99" s="151"/>
      <c r="H99" s="151"/>
      <c r="I99" s="98"/>
      <c r="J99" s="98"/>
      <c r="K99" s="98"/>
      <c r="L99" s="146"/>
      <c r="M99" s="146"/>
      <c r="N99" s="146"/>
      <c r="O99" s="146"/>
      <c r="P99" s="125"/>
      <c r="Q99" s="146"/>
      <c r="R99" s="125"/>
      <c r="S99" s="136"/>
      <c r="T99" s="125"/>
      <c r="U99" s="125"/>
      <c r="V99" s="125"/>
      <c r="X99" s="125"/>
      <c r="Y99" s="125"/>
    </row>
    <row r="100" spans="1:31" s="94" customFormat="1" ht="12" customHeight="1" x14ac:dyDescent="0.2">
      <c r="A100" s="161"/>
      <c r="B100" s="161" t="s">
        <v>70</v>
      </c>
      <c r="C100" s="121">
        <v>5201</v>
      </c>
      <c r="D100" s="165" t="s">
        <v>142</v>
      </c>
      <c r="E100" s="166">
        <v>0</v>
      </c>
      <c r="F100" s="166">
        <v>0</v>
      </c>
      <c r="G100" s="166">
        <v>12</v>
      </c>
      <c r="H100" s="166">
        <v>0</v>
      </c>
      <c r="I100" s="98">
        <v>0</v>
      </c>
      <c r="J100" s="98">
        <v>0</v>
      </c>
      <c r="K100" s="98">
        <v>0</v>
      </c>
      <c r="L100" s="108">
        <v>20</v>
      </c>
      <c r="M100" s="108">
        <v>133.46</v>
      </c>
      <c r="N100" s="108">
        <v>34.28</v>
      </c>
      <c r="O100" s="108">
        <v>0</v>
      </c>
      <c r="P100" s="167">
        <v>45.454545454545453</v>
      </c>
      <c r="Q100" s="146">
        <v>0</v>
      </c>
      <c r="R100" s="125"/>
      <c r="S100" s="124">
        <f t="shared" ref="S100:S107" si="39">SUM(E100:Q100)</f>
        <v>245.19454545454545</v>
      </c>
      <c r="T100" s="125"/>
      <c r="U100" s="125">
        <v>600</v>
      </c>
      <c r="V100" s="125">
        <f t="shared" ref="V100:V107" si="40">U100-S100</f>
        <v>354.80545454545455</v>
      </c>
      <c r="W100" s="169"/>
      <c r="X100" s="125">
        <v>570.2954545454545</v>
      </c>
      <c r="Y100" s="125">
        <f t="shared" ref="Y100:Y107" si="41">X100-S100</f>
        <v>325.10090909090906</v>
      </c>
      <c r="Z100" s="169"/>
      <c r="AA100" s="169"/>
      <c r="AB100" s="169"/>
      <c r="AC100" s="169"/>
      <c r="AD100" s="169"/>
      <c r="AE100" s="169"/>
    </row>
    <row r="101" spans="1:31" s="94" customFormat="1" ht="12" customHeight="1" x14ac:dyDescent="0.2">
      <c r="A101" s="161"/>
      <c r="B101" s="161" t="s">
        <v>70</v>
      </c>
      <c r="C101" s="121">
        <v>5300</v>
      </c>
      <c r="D101" s="165" t="s">
        <v>143</v>
      </c>
      <c r="E101" s="166">
        <v>369.58</v>
      </c>
      <c r="F101" s="166">
        <v>242.5</v>
      </c>
      <c r="G101" s="166">
        <v>496.66</v>
      </c>
      <c r="H101" s="166">
        <v>372.81</v>
      </c>
      <c r="I101" s="98">
        <v>1615.43</v>
      </c>
      <c r="J101" s="98">
        <v>618.75</v>
      </c>
      <c r="K101" s="98">
        <v>376.25</v>
      </c>
      <c r="L101" s="108">
        <v>376.25</v>
      </c>
      <c r="M101" s="108">
        <v>376.25</v>
      </c>
      <c r="N101" s="108">
        <v>376.25</v>
      </c>
      <c r="O101" s="108">
        <v>376.25</v>
      </c>
      <c r="P101" s="167">
        <v>416.66666666666669</v>
      </c>
      <c r="Q101" s="146">
        <v>0</v>
      </c>
      <c r="R101" s="125"/>
      <c r="S101" s="124">
        <f t="shared" si="39"/>
        <v>6013.6466666666665</v>
      </c>
      <c r="T101" s="125"/>
      <c r="U101" s="125">
        <v>5700</v>
      </c>
      <c r="V101" s="125">
        <f t="shared" si="40"/>
        <v>-313.64666666666653</v>
      </c>
      <c r="X101" s="125">
        <v>5508.3600000000006</v>
      </c>
      <c r="Y101" s="125">
        <f t="shared" si="41"/>
        <v>-505.28666666666595</v>
      </c>
    </row>
    <row r="102" spans="1:31" s="94" customFormat="1" ht="12" customHeight="1" x14ac:dyDescent="0.2">
      <c r="A102" s="161"/>
      <c r="B102" s="161" t="s">
        <v>70</v>
      </c>
      <c r="C102" s="121">
        <v>5400</v>
      </c>
      <c r="D102" s="165" t="s">
        <v>144</v>
      </c>
      <c r="E102" s="166">
        <v>5188.9799999999996</v>
      </c>
      <c r="F102" s="166">
        <v>5188.9799999999996</v>
      </c>
      <c r="G102" s="166">
        <v>5188.9799999999996</v>
      </c>
      <c r="H102" s="166">
        <v>5188.9799999999996</v>
      </c>
      <c r="I102" s="98">
        <v>5188.9799999999996</v>
      </c>
      <c r="J102" s="98">
        <v>5188.9799999999996</v>
      </c>
      <c r="K102" s="98">
        <v>5188.9799999999996</v>
      </c>
      <c r="L102" s="108">
        <v>5188.9799999999996</v>
      </c>
      <c r="M102" s="108">
        <v>5188.9799999999996</v>
      </c>
      <c r="N102" s="108">
        <v>5188.9799999999996</v>
      </c>
      <c r="O102" s="108">
        <v>5188.9799999999996</v>
      </c>
      <c r="P102" s="125">
        <v>5254.666666666667</v>
      </c>
      <c r="Q102" s="146">
        <v>0</v>
      </c>
      <c r="R102" s="125"/>
      <c r="S102" s="124">
        <f t="shared" si="39"/>
        <v>62333.446666666649</v>
      </c>
      <c r="T102" s="125"/>
      <c r="U102" s="125">
        <v>63055.999999999993</v>
      </c>
      <c r="V102" s="125">
        <f t="shared" si="40"/>
        <v>722.5533333333442</v>
      </c>
      <c r="X102" s="125">
        <v>56631</v>
      </c>
      <c r="Y102" s="125">
        <f t="shared" si="41"/>
        <v>-5702.4466666666485</v>
      </c>
    </row>
    <row r="103" spans="1:31" s="94" customFormat="1" ht="12" customHeight="1" x14ac:dyDescent="0.2">
      <c r="A103" s="161"/>
      <c r="B103" s="161" t="s">
        <v>70</v>
      </c>
      <c r="C103" s="121">
        <v>5501</v>
      </c>
      <c r="D103" s="165" t="s">
        <v>145</v>
      </c>
      <c r="E103" s="166">
        <v>2248.2199999999998</v>
      </c>
      <c r="F103" s="166">
        <v>2455.6</v>
      </c>
      <c r="G103" s="166">
        <v>2605.58</v>
      </c>
      <c r="H103" s="166">
        <v>2348.73</v>
      </c>
      <c r="I103" s="98">
        <v>1925.55</v>
      </c>
      <c r="J103" s="98">
        <v>2019.99</v>
      </c>
      <c r="K103" s="98">
        <v>1869.57</v>
      </c>
      <c r="L103" s="108">
        <v>1909.58</v>
      </c>
      <c r="M103" s="108">
        <v>2015.87</v>
      </c>
      <c r="N103" s="108">
        <v>2053.8200000000002</v>
      </c>
      <c r="O103" s="108">
        <v>2063.13</v>
      </c>
      <c r="P103" s="167">
        <v>2266.666666666667</v>
      </c>
      <c r="Q103" s="146">
        <v>0</v>
      </c>
      <c r="R103" s="125"/>
      <c r="S103" s="124">
        <f t="shared" si="39"/>
        <v>25782.306666666667</v>
      </c>
      <c r="T103" s="125"/>
      <c r="U103" s="125">
        <v>22800</v>
      </c>
      <c r="V103" s="125">
        <f t="shared" si="40"/>
        <v>-2982.3066666666673</v>
      </c>
      <c r="X103" s="125">
        <v>22174.609999999997</v>
      </c>
      <c r="Y103" s="125">
        <f t="shared" si="41"/>
        <v>-3607.6966666666704</v>
      </c>
    </row>
    <row r="104" spans="1:31" s="94" customFormat="1" ht="12" customHeight="1" x14ac:dyDescent="0.2">
      <c r="A104" s="161"/>
      <c r="B104" s="161" t="s">
        <v>70</v>
      </c>
      <c r="C104" s="121">
        <v>5502</v>
      </c>
      <c r="D104" s="165" t="s">
        <v>146</v>
      </c>
      <c r="E104" s="166">
        <v>5115</v>
      </c>
      <c r="F104" s="166">
        <v>4255.96</v>
      </c>
      <c r="G104" s="166">
        <v>3591</v>
      </c>
      <c r="H104" s="166">
        <v>3923.48</v>
      </c>
      <c r="I104" s="98">
        <v>4307.6000000000004</v>
      </c>
      <c r="J104" s="108">
        <v>3923.48</v>
      </c>
      <c r="K104" s="98">
        <v>358.42</v>
      </c>
      <c r="L104" s="108">
        <v>7540.42</v>
      </c>
      <c r="M104" s="108">
        <v>3949.42</v>
      </c>
      <c r="N104" s="108">
        <v>4307.84</v>
      </c>
      <c r="O104" s="108">
        <v>3591</v>
      </c>
      <c r="P104" s="167">
        <v>2316.6666666666665</v>
      </c>
      <c r="Q104" s="146">
        <v>0</v>
      </c>
      <c r="R104" s="125"/>
      <c r="S104" s="124">
        <f>SUM(E104:Q104)</f>
        <v>47180.28666666666</v>
      </c>
      <c r="T104" s="125"/>
      <c r="U104" s="125">
        <v>31800</v>
      </c>
      <c r="V104" s="125">
        <f>U104-S104</f>
        <v>-15380.28666666666</v>
      </c>
      <c r="X104" s="125">
        <v>30874.65</v>
      </c>
      <c r="Y104" s="125">
        <f>X104-S104</f>
        <v>-16305.636666666658</v>
      </c>
    </row>
    <row r="105" spans="1:31" s="94" customFormat="1" ht="12" hidden="1" customHeight="1" x14ac:dyDescent="0.2">
      <c r="A105" s="161"/>
      <c r="B105" s="161" t="s">
        <v>70</v>
      </c>
      <c r="C105" s="121">
        <v>5516</v>
      </c>
      <c r="D105" s="165" t="s">
        <v>147</v>
      </c>
      <c r="E105" s="166">
        <v>0</v>
      </c>
      <c r="F105" s="166">
        <v>0</v>
      </c>
      <c r="G105" s="166">
        <v>0</v>
      </c>
      <c r="H105" s="166">
        <v>0</v>
      </c>
      <c r="I105" s="98">
        <v>0</v>
      </c>
      <c r="J105" s="98">
        <v>0</v>
      </c>
      <c r="K105" s="98">
        <v>0</v>
      </c>
      <c r="L105" s="146">
        <v>0</v>
      </c>
      <c r="M105" s="146">
        <v>0</v>
      </c>
      <c r="N105" s="146">
        <v>0</v>
      </c>
      <c r="O105" s="146">
        <v>0</v>
      </c>
      <c r="P105" s="125">
        <v>0</v>
      </c>
      <c r="Q105" s="146">
        <v>0</v>
      </c>
      <c r="R105" s="125"/>
      <c r="S105" s="124">
        <f t="shared" si="39"/>
        <v>0</v>
      </c>
      <c r="T105" s="125"/>
      <c r="U105" s="125">
        <v>0</v>
      </c>
      <c r="V105" s="125">
        <f t="shared" si="40"/>
        <v>0</v>
      </c>
      <c r="X105" s="125">
        <v>0</v>
      </c>
      <c r="Y105" s="125">
        <f t="shared" si="41"/>
        <v>0</v>
      </c>
    </row>
    <row r="106" spans="1:31" s="94" customFormat="1" ht="12" hidden="1" customHeight="1" x14ac:dyDescent="0.2">
      <c r="A106" s="161"/>
      <c r="B106" s="161"/>
      <c r="C106" s="121">
        <v>5531</v>
      </c>
      <c r="D106" s="165" t="s">
        <v>148</v>
      </c>
      <c r="E106" s="166">
        <v>0</v>
      </c>
      <c r="F106" s="166">
        <v>0</v>
      </c>
      <c r="G106" s="166">
        <v>0</v>
      </c>
      <c r="H106" s="166">
        <v>0</v>
      </c>
      <c r="I106" s="98">
        <v>0</v>
      </c>
      <c r="J106" s="98">
        <v>0</v>
      </c>
      <c r="K106" s="98">
        <v>0</v>
      </c>
      <c r="L106" s="168">
        <v>0</v>
      </c>
      <c r="M106" s="168">
        <v>0</v>
      </c>
      <c r="N106" s="168">
        <v>0</v>
      </c>
      <c r="O106" s="168">
        <v>0</v>
      </c>
      <c r="P106" s="167">
        <v>0</v>
      </c>
      <c r="Q106" s="146">
        <v>0</v>
      </c>
      <c r="R106" s="125"/>
      <c r="S106" s="124">
        <f t="shared" si="39"/>
        <v>0</v>
      </c>
      <c r="T106" s="125"/>
      <c r="U106" s="125">
        <v>0</v>
      </c>
      <c r="V106" s="125">
        <f t="shared" si="40"/>
        <v>0</v>
      </c>
      <c r="X106" s="125">
        <v>0</v>
      </c>
      <c r="Y106" s="125">
        <f t="shared" si="41"/>
        <v>0</v>
      </c>
    </row>
    <row r="107" spans="1:31" s="94" customFormat="1" ht="12" customHeight="1" x14ac:dyDescent="0.2">
      <c r="A107" s="161"/>
      <c r="B107" s="161" t="s">
        <v>70</v>
      </c>
      <c r="C107" s="121">
        <v>5900</v>
      </c>
      <c r="D107" s="165" t="s">
        <v>149</v>
      </c>
      <c r="E107" s="166">
        <v>2376.91</v>
      </c>
      <c r="F107" s="166">
        <v>6386.83</v>
      </c>
      <c r="G107" s="166">
        <v>4535.54</v>
      </c>
      <c r="H107" s="166">
        <v>2516.44</v>
      </c>
      <c r="I107" s="98">
        <v>4156.32</v>
      </c>
      <c r="J107" s="98">
        <v>2952.24</v>
      </c>
      <c r="K107" s="98">
        <v>-7076.31</v>
      </c>
      <c r="L107" s="108">
        <v>1067.06</v>
      </c>
      <c r="M107" s="108">
        <v>933.41</v>
      </c>
      <c r="N107" s="108">
        <v>2001.98</v>
      </c>
      <c r="O107" s="108">
        <v>662.5</v>
      </c>
      <c r="P107" s="167">
        <v>4041.6666666666665</v>
      </c>
      <c r="Q107" s="146">
        <v>0</v>
      </c>
      <c r="R107" s="125"/>
      <c r="S107" s="124">
        <f t="shared" si="39"/>
        <v>24554.586666666666</v>
      </c>
      <c r="T107" s="125"/>
      <c r="U107" s="125">
        <v>34899.999999999993</v>
      </c>
      <c r="V107" s="125">
        <f t="shared" si="40"/>
        <v>10345.413333333327</v>
      </c>
      <c r="X107" s="125">
        <v>33901.11</v>
      </c>
      <c r="Y107" s="125">
        <f t="shared" si="41"/>
        <v>9346.5233333333344</v>
      </c>
    </row>
    <row r="108" spans="1:31" s="94" customFormat="1" ht="12" customHeight="1" x14ac:dyDescent="0.2">
      <c r="A108" s="161"/>
      <c r="B108" s="161" t="s">
        <v>70</v>
      </c>
      <c r="C108" s="121">
        <v>5901</v>
      </c>
      <c r="D108" s="165" t="s">
        <v>150</v>
      </c>
      <c r="E108" s="166">
        <v>0</v>
      </c>
      <c r="F108" s="166">
        <v>44.35</v>
      </c>
      <c r="G108" s="166">
        <v>296.95</v>
      </c>
      <c r="H108" s="166">
        <v>417.18</v>
      </c>
      <c r="I108" s="98">
        <v>0</v>
      </c>
      <c r="J108" s="98">
        <v>0</v>
      </c>
      <c r="K108" s="98">
        <v>864.23</v>
      </c>
      <c r="L108" s="108">
        <v>23.04</v>
      </c>
      <c r="M108" s="108">
        <v>628.66</v>
      </c>
      <c r="N108" s="108">
        <v>39.31</v>
      </c>
      <c r="O108" s="108">
        <v>8.9600000000000009</v>
      </c>
      <c r="P108" s="167">
        <v>180</v>
      </c>
      <c r="Q108" s="146">
        <v>0</v>
      </c>
      <c r="R108" s="125"/>
      <c r="S108" s="124">
        <f>SUM(E108:Q108)</f>
        <v>2502.6799999999998</v>
      </c>
      <c r="T108" s="125"/>
      <c r="U108" s="125">
        <v>2000</v>
      </c>
      <c r="V108" s="125">
        <f>U108-S108</f>
        <v>-502.67999999999984</v>
      </c>
      <c r="X108" s="125">
        <v>1974.45</v>
      </c>
      <c r="Y108" s="125">
        <f>X108-S108</f>
        <v>-528.22999999999979</v>
      </c>
    </row>
    <row r="109" spans="1:31" s="94" customFormat="1" ht="12" customHeight="1" x14ac:dyDescent="0.2">
      <c r="A109" s="161"/>
      <c r="B109" s="161" t="s">
        <v>70</v>
      </c>
      <c r="C109" s="121"/>
      <c r="D109" s="128"/>
      <c r="E109" s="129">
        <f t="shared" ref="E109:Q109" si="42">SUM(E100:E108)</f>
        <v>15298.689999999999</v>
      </c>
      <c r="F109" s="129">
        <f t="shared" si="42"/>
        <v>18574.22</v>
      </c>
      <c r="G109" s="129">
        <f t="shared" si="42"/>
        <v>16726.71</v>
      </c>
      <c r="H109" s="129">
        <f t="shared" si="42"/>
        <v>14767.62</v>
      </c>
      <c r="I109" s="129">
        <f t="shared" si="42"/>
        <v>17193.879999999997</v>
      </c>
      <c r="J109" s="129">
        <f t="shared" si="42"/>
        <v>14703.439999999999</v>
      </c>
      <c r="K109" s="129">
        <f t="shared" si="42"/>
        <v>1581.139999999999</v>
      </c>
      <c r="L109" s="130">
        <f t="shared" si="42"/>
        <v>16125.33</v>
      </c>
      <c r="M109" s="130">
        <f t="shared" si="42"/>
        <v>13226.05</v>
      </c>
      <c r="N109" s="130">
        <f t="shared" si="42"/>
        <v>14002.46</v>
      </c>
      <c r="O109" s="130">
        <f t="shared" si="42"/>
        <v>11890.82</v>
      </c>
      <c r="P109" s="131">
        <f t="shared" si="42"/>
        <v>14521.787878787878</v>
      </c>
      <c r="Q109" s="130">
        <f t="shared" si="42"/>
        <v>0</v>
      </c>
      <c r="R109" s="125"/>
      <c r="S109" s="132">
        <f>SUM(E109:R109)</f>
        <v>168612.14787878789</v>
      </c>
      <c r="T109" s="158"/>
      <c r="U109" s="133">
        <v>160856.00000000006</v>
      </c>
      <c r="V109" s="133">
        <f>SUM(V100:V108)</f>
        <v>-7756.1478787878696</v>
      </c>
      <c r="X109" s="133">
        <f>SUM(X100:X108)</f>
        <v>151634.47545454546</v>
      </c>
      <c r="Y109" s="133">
        <f>SUM(Y100:Y108)</f>
        <v>-16977.672424242399</v>
      </c>
    </row>
    <row r="110" spans="1:31" s="94" customFormat="1" ht="12" customHeight="1" x14ac:dyDescent="0.2">
      <c r="A110" s="161"/>
      <c r="B110" s="161" t="s">
        <v>151</v>
      </c>
      <c r="C110" s="163"/>
      <c r="D110" s="163"/>
      <c r="E110" s="151"/>
      <c r="F110" s="151"/>
      <c r="G110" s="151"/>
      <c r="H110" s="151"/>
      <c r="I110" s="98"/>
      <c r="J110" s="98"/>
      <c r="K110" s="98"/>
      <c r="L110" s="146"/>
      <c r="M110" s="146"/>
      <c r="N110" s="146"/>
      <c r="O110" s="146"/>
      <c r="P110" s="125"/>
      <c r="Q110" s="146"/>
      <c r="R110" s="125"/>
      <c r="S110" s="136"/>
      <c r="T110" s="125"/>
      <c r="U110" s="125"/>
      <c r="V110" s="125"/>
      <c r="X110" s="125"/>
      <c r="Y110" s="125"/>
    </row>
    <row r="111" spans="1:31" s="94" customFormat="1" ht="12" customHeight="1" x14ac:dyDescent="0.2">
      <c r="A111" s="161"/>
      <c r="B111" s="161" t="s">
        <v>70</v>
      </c>
      <c r="C111" s="121">
        <v>5601</v>
      </c>
      <c r="D111" s="165" t="s">
        <v>152</v>
      </c>
      <c r="E111" s="151">
        <v>25204.400000000001</v>
      </c>
      <c r="F111" s="151">
        <v>40591.86</v>
      </c>
      <c r="G111" s="151">
        <v>32898.129999999997</v>
      </c>
      <c r="H111" s="151">
        <v>33216.93</v>
      </c>
      <c r="I111" s="98">
        <v>32898.129999999997</v>
      </c>
      <c r="J111" s="108">
        <v>32898.129999999997</v>
      </c>
      <c r="K111" s="98">
        <v>32898.129999999997</v>
      </c>
      <c r="L111" s="108">
        <v>32898.129999999997</v>
      </c>
      <c r="M111" s="108">
        <v>33055.81</v>
      </c>
      <c r="N111" s="108">
        <v>33055.81</v>
      </c>
      <c r="O111" s="108">
        <v>294841.24</v>
      </c>
      <c r="P111" s="125">
        <v>33318.730000000003</v>
      </c>
      <c r="Q111" s="146">
        <v>0</v>
      </c>
      <c r="R111" s="125"/>
      <c r="S111" s="124">
        <f t="shared" ref="S111:S116" si="43">SUM(E111:Q111)</f>
        <v>657775.42999999993</v>
      </c>
      <c r="T111" s="125"/>
      <c r="U111" s="125">
        <v>399824.75999999995</v>
      </c>
      <c r="V111" s="125">
        <f t="shared" ref="V111:V116" si="44">U111-S111</f>
        <v>-257950.66999999998</v>
      </c>
      <c r="X111" s="125">
        <v>398051.41</v>
      </c>
      <c r="Y111" s="125">
        <f t="shared" ref="Y111:Y116" si="45">X111-S111</f>
        <v>-259724.01999999996</v>
      </c>
    </row>
    <row r="112" spans="1:31" s="94" customFormat="1" ht="12" hidden="1" customHeight="1" x14ac:dyDescent="0.2">
      <c r="A112" s="161"/>
      <c r="B112" s="161" t="s">
        <v>70</v>
      </c>
      <c r="C112" s="121">
        <v>5602</v>
      </c>
      <c r="D112" s="165" t="s">
        <v>153</v>
      </c>
      <c r="E112" s="151">
        <v>0</v>
      </c>
      <c r="F112" s="151">
        <v>0</v>
      </c>
      <c r="G112" s="151">
        <v>0</v>
      </c>
      <c r="H112" s="151">
        <v>0</v>
      </c>
      <c r="I112" s="98">
        <v>0</v>
      </c>
      <c r="J112" s="98">
        <v>0</v>
      </c>
      <c r="K112" s="98">
        <v>0</v>
      </c>
      <c r="L112" s="146">
        <v>0</v>
      </c>
      <c r="M112" s="146">
        <v>0</v>
      </c>
      <c r="N112" s="146">
        <v>0</v>
      </c>
      <c r="O112" s="146">
        <v>0</v>
      </c>
      <c r="P112" s="125">
        <v>0</v>
      </c>
      <c r="Q112" s="146">
        <v>0</v>
      </c>
      <c r="R112" s="125"/>
      <c r="S112" s="124">
        <f t="shared" si="43"/>
        <v>0</v>
      </c>
      <c r="T112" s="125"/>
      <c r="U112" s="125">
        <v>0</v>
      </c>
      <c r="V112" s="125">
        <f t="shared" si="44"/>
        <v>0</v>
      </c>
      <c r="X112" s="125">
        <v>0</v>
      </c>
      <c r="Y112" s="125">
        <f t="shared" si="45"/>
        <v>0</v>
      </c>
    </row>
    <row r="113" spans="1:25" s="94" customFormat="1" ht="12" customHeight="1" x14ac:dyDescent="0.2">
      <c r="A113" s="161"/>
      <c r="B113" s="161" t="s">
        <v>70</v>
      </c>
      <c r="C113" s="121">
        <v>5603</v>
      </c>
      <c r="D113" s="165" t="s">
        <v>154</v>
      </c>
      <c r="E113" s="151">
        <v>399.07</v>
      </c>
      <c r="F113" s="151">
        <v>399.07</v>
      </c>
      <c r="G113" s="151">
        <v>1015</v>
      </c>
      <c r="H113" s="151">
        <v>448.5</v>
      </c>
      <c r="I113" s="98">
        <v>811.08</v>
      </c>
      <c r="J113" s="98">
        <v>0</v>
      </c>
      <c r="K113" s="98">
        <v>390.3</v>
      </c>
      <c r="L113" s="108">
        <v>0</v>
      </c>
      <c r="M113" s="108">
        <v>1006.23</v>
      </c>
      <c r="N113" s="108">
        <v>811.08</v>
      </c>
      <c r="O113" s="108">
        <v>195.15</v>
      </c>
      <c r="P113" s="125">
        <v>533.33333333333337</v>
      </c>
      <c r="Q113" s="146">
        <v>0</v>
      </c>
      <c r="R113" s="125"/>
      <c r="S113" s="124">
        <f t="shared" si="43"/>
        <v>6008.8133333333326</v>
      </c>
      <c r="T113" s="125"/>
      <c r="U113" s="125">
        <v>7400.0000000000009</v>
      </c>
      <c r="V113" s="125">
        <f t="shared" si="44"/>
        <v>1391.1866666666683</v>
      </c>
      <c r="X113" s="125">
        <v>7152.9299999999994</v>
      </c>
      <c r="Y113" s="125">
        <f t="shared" si="45"/>
        <v>1144.1166666666668</v>
      </c>
    </row>
    <row r="114" spans="1:25" s="94" customFormat="1" ht="12" customHeight="1" x14ac:dyDescent="0.2">
      <c r="A114" s="161"/>
      <c r="B114" s="161" t="s">
        <v>70</v>
      </c>
      <c r="C114" s="121">
        <v>5604</v>
      </c>
      <c r="D114" s="165" t="s">
        <v>155</v>
      </c>
      <c r="E114" s="151">
        <v>2207.2800000000002</v>
      </c>
      <c r="F114" s="151">
        <v>2220.59</v>
      </c>
      <c r="G114" s="151">
        <v>3208.59</v>
      </c>
      <c r="H114" s="151">
        <v>2220.59</v>
      </c>
      <c r="I114" s="98">
        <v>2714.59</v>
      </c>
      <c r="J114" s="98">
        <v>2220.59</v>
      </c>
      <c r="K114" s="98">
        <v>4196.38</v>
      </c>
      <c r="L114" s="108">
        <v>2220.59</v>
      </c>
      <c r="M114" s="108">
        <v>4149.59</v>
      </c>
      <c r="N114" s="108">
        <v>2220.59</v>
      </c>
      <c r="O114" s="108">
        <v>3033.59</v>
      </c>
      <c r="P114" s="125">
        <v>2983.333333333333</v>
      </c>
      <c r="Q114" s="146">
        <v>0</v>
      </c>
      <c r="R114" s="125"/>
      <c r="S114" s="124">
        <f t="shared" si="43"/>
        <v>33596.303333333337</v>
      </c>
      <c r="T114" s="125"/>
      <c r="U114" s="125">
        <v>27200.000000000004</v>
      </c>
      <c r="V114" s="125">
        <f t="shared" si="44"/>
        <v>-6396.3033333333333</v>
      </c>
      <c r="X114" s="125">
        <v>26438.920000000002</v>
      </c>
      <c r="Y114" s="125">
        <f t="shared" si="45"/>
        <v>-7157.383333333335</v>
      </c>
    </row>
    <row r="115" spans="1:25" s="94" customFormat="1" ht="12" customHeight="1" x14ac:dyDescent="0.2">
      <c r="A115" s="161"/>
      <c r="B115" s="161" t="s">
        <v>70</v>
      </c>
      <c r="C115" s="121">
        <v>5605</v>
      </c>
      <c r="D115" s="165" t="s">
        <v>156</v>
      </c>
      <c r="E115" s="151">
        <v>0</v>
      </c>
      <c r="F115" s="151">
        <v>0</v>
      </c>
      <c r="G115" s="151">
        <v>0</v>
      </c>
      <c r="H115" s="151">
        <v>0</v>
      </c>
      <c r="I115" s="98">
        <v>0</v>
      </c>
      <c r="J115" s="98">
        <v>0</v>
      </c>
      <c r="K115" s="98">
        <v>0</v>
      </c>
      <c r="L115" s="108">
        <v>0</v>
      </c>
      <c r="M115" s="108">
        <v>0</v>
      </c>
      <c r="N115" s="108">
        <v>0</v>
      </c>
      <c r="O115" s="108">
        <v>0</v>
      </c>
      <c r="P115" s="167">
        <v>125</v>
      </c>
      <c r="Q115" s="146">
        <v>0</v>
      </c>
      <c r="R115" s="125"/>
      <c r="S115" s="124">
        <f t="shared" si="43"/>
        <v>125</v>
      </c>
      <c r="T115" s="125"/>
      <c r="U115" s="125">
        <v>1700.0000000000002</v>
      </c>
      <c r="V115" s="125">
        <f t="shared" si="44"/>
        <v>1575.0000000000002</v>
      </c>
      <c r="X115" s="125">
        <v>1650</v>
      </c>
      <c r="Y115" s="125">
        <f t="shared" si="45"/>
        <v>1525</v>
      </c>
    </row>
    <row r="116" spans="1:25" s="94" customFormat="1" ht="12" customHeight="1" x14ac:dyDescent="0.2">
      <c r="A116" s="161"/>
      <c r="B116" s="161" t="s">
        <v>70</v>
      </c>
      <c r="C116" s="121">
        <v>5610</v>
      </c>
      <c r="D116" s="165" t="s">
        <v>157</v>
      </c>
      <c r="E116" s="151">
        <v>254</v>
      </c>
      <c r="F116" s="151">
        <v>1524</v>
      </c>
      <c r="G116" s="151">
        <v>1351</v>
      </c>
      <c r="H116" s="151">
        <v>1514</v>
      </c>
      <c r="I116" s="98">
        <v>4526</v>
      </c>
      <c r="J116" s="98">
        <v>747</v>
      </c>
      <c r="K116" s="98">
        <v>117</v>
      </c>
      <c r="L116" s="108">
        <v>1040.0999999999999</v>
      </c>
      <c r="M116" s="108">
        <v>434</v>
      </c>
      <c r="N116" s="108">
        <v>970</v>
      </c>
      <c r="O116" s="108">
        <v>1051</v>
      </c>
      <c r="P116" s="167">
        <v>558.33333333333337</v>
      </c>
      <c r="Q116" s="146">
        <v>0</v>
      </c>
      <c r="R116" s="125"/>
      <c r="S116" s="124">
        <f t="shared" si="43"/>
        <v>14086.433333333334</v>
      </c>
      <c r="T116" s="125"/>
      <c r="U116" s="125">
        <v>7700.0000000000009</v>
      </c>
      <c r="V116" s="125">
        <f t="shared" si="44"/>
        <v>-6386.4333333333334</v>
      </c>
      <c r="X116" s="125">
        <v>7451.0399999999991</v>
      </c>
      <c r="Y116" s="125">
        <f t="shared" si="45"/>
        <v>-6635.3933333333352</v>
      </c>
    </row>
    <row r="117" spans="1:25" s="94" customFormat="1" ht="12" customHeight="1" x14ac:dyDescent="0.2">
      <c r="A117" s="161"/>
      <c r="B117" s="161" t="s">
        <v>70</v>
      </c>
      <c r="C117" s="163"/>
      <c r="D117" s="163"/>
      <c r="E117" s="129">
        <f t="shared" ref="E117:Q117" si="46">SUM(E111:E116)</f>
        <v>28064.75</v>
      </c>
      <c r="F117" s="129">
        <f t="shared" si="46"/>
        <v>44735.520000000004</v>
      </c>
      <c r="G117" s="129">
        <f t="shared" si="46"/>
        <v>38472.720000000001</v>
      </c>
      <c r="H117" s="129">
        <f t="shared" si="46"/>
        <v>37400.020000000004</v>
      </c>
      <c r="I117" s="129">
        <f t="shared" si="46"/>
        <v>40949.800000000003</v>
      </c>
      <c r="J117" s="129">
        <f t="shared" si="46"/>
        <v>35865.72</v>
      </c>
      <c r="K117" s="129">
        <f t="shared" si="46"/>
        <v>37601.81</v>
      </c>
      <c r="L117" s="130">
        <f t="shared" si="46"/>
        <v>36158.82</v>
      </c>
      <c r="M117" s="130">
        <f t="shared" si="46"/>
        <v>38645.630000000005</v>
      </c>
      <c r="N117" s="130">
        <f t="shared" si="46"/>
        <v>37057.479999999996</v>
      </c>
      <c r="O117" s="130">
        <f t="shared" si="46"/>
        <v>299120.98000000004</v>
      </c>
      <c r="P117" s="131">
        <f t="shared" si="46"/>
        <v>37518.73000000001</v>
      </c>
      <c r="Q117" s="130">
        <f t="shared" si="46"/>
        <v>0</v>
      </c>
      <c r="R117" s="125"/>
      <c r="S117" s="132">
        <f>SUM(E117:R117)</f>
        <v>711591.98</v>
      </c>
      <c r="T117" s="125"/>
      <c r="U117" s="133">
        <v>443824.75999999995</v>
      </c>
      <c r="V117" s="133">
        <f>SUM(V111:V116)</f>
        <v>-267767.21999999997</v>
      </c>
      <c r="X117" s="133">
        <f>SUM(X111:X116)</f>
        <v>440744.29999999993</v>
      </c>
      <c r="Y117" s="133">
        <f>SUM(Y111:Y116)</f>
        <v>-270847.67999999993</v>
      </c>
    </row>
    <row r="118" spans="1:25" s="94" customFormat="1" ht="12" customHeight="1" x14ac:dyDescent="0.2">
      <c r="A118" s="161"/>
      <c r="B118" s="161" t="s">
        <v>158</v>
      </c>
      <c r="C118" s="163"/>
      <c r="D118" s="163"/>
      <c r="E118" s="151"/>
      <c r="F118" s="151"/>
      <c r="G118" s="151"/>
      <c r="H118" s="151"/>
      <c r="I118" s="98"/>
      <c r="J118" s="98"/>
      <c r="K118" s="98"/>
      <c r="L118" s="146"/>
      <c r="M118" s="146"/>
      <c r="N118" s="146"/>
      <c r="O118" s="146"/>
      <c r="P118" s="125"/>
      <c r="Q118" s="146"/>
      <c r="R118" s="125"/>
      <c r="S118" s="136"/>
      <c r="T118" s="125"/>
      <c r="U118" s="125"/>
      <c r="V118" s="125"/>
      <c r="X118" s="125"/>
      <c r="Y118" s="125"/>
    </row>
    <row r="119" spans="1:25" s="94" customFormat="1" ht="12" customHeight="1" x14ac:dyDescent="0.2">
      <c r="A119" s="161"/>
      <c r="B119" s="161" t="s">
        <v>70</v>
      </c>
      <c r="C119" s="121">
        <v>5801</v>
      </c>
      <c r="D119" s="165" t="s">
        <v>159</v>
      </c>
      <c r="E119" s="166">
        <v>272.92</v>
      </c>
      <c r="F119" s="166">
        <v>272.92</v>
      </c>
      <c r="G119" s="166">
        <v>8786.2099999999991</v>
      </c>
      <c r="H119" s="166">
        <v>3440</v>
      </c>
      <c r="I119" s="98">
        <v>5540</v>
      </c>
      <c r="J119" s="98">
        <v>2840</v>
      </c>
      <c r="K119" s="98">
        <v>2840</v>
      </c>
      <c r="L119" s="108">
        <v>2840</v>
      </c>
      <c r="M119" s="108">
        <v>2840</v>
      </c>
      <c r="N119" s="108">
        <v>140</v>
      </c>
      <c r="O119" s="108">
        <v>5540</v>
      </c>
      <c r="P119" s="167">
        <v>3333.3333333333335</v>
      </c>
      <c r="Q119" s="146">
        <v>0</v>
      </c>
      <c r="R119" s="125"/>
      <c r="S119" s="124">
        <f t="shared" ref="S119:S132" si="47">SUM(E119:Q119)</f>
        <v>38685.383333333339</v>
      </c>
      <c r="T119" s="125"/>
      <c r="U119" s="125">
        <v>40000</v>
      </c>
      <c r="V119" s="125">
        <f t="shared" ref="V119:V132" si="48">U119-S119</f>
        <v>1314.6166666666613</v>
      </c>
      <c r="X119" s="125">
        <v>40279.979999999996</v>
      </c>
      <c r="Y119" s="125">
        <f t="shared" ref="Y119:Y132" si="49">X119-S119</f>
        <v>1594.5966666666573</v>
      </c>
    </row>
    <row r="120" spans="1:25" s="94" customFormat="1" ht="12" customHeight="1" x14ac:dyDescent="0.2">
      <c r="A120" s="161"/>
      <c r="B120" s="161" t="s">
        <v>70</v>
      </c>
      <c r="C120" s="121">
        <v>5802</v>
      </c>
      <c r="D120" s="165" t="s">
        <v>160</v>
      </c>
      <c r="E120" s="166">
        <v>0</v>
      </c>
      <c r="F120" s="166">
        <v>0</v>
      </c>
      <c r="G120" s="166">
        <v>0</v>
      </c>
      <c r="H120" s="166">
        <v>0</v>
      </c>
      <c r="I120" s="98">
        <v>6500</v>
      </c>
      <c r="J120" s="98">
        <v>0</v>
      </c>
      <c r="K120" s="98">
        <v>0</v>
      </c>
      <c r="L120" s="108">
        <v>0</v>
      </c>
      <c r="M120" s="108">
        <v>0</v>
      </c>
      <c r="N120" s="108">
        <v>0</v>
      </c>
      <c r="O120" s="98">
        <v>1500</v>
      </c>
      <c r="P120" s="167">
        <v>0</v>
      </c>
      <c r="Q120" s="146">
        <v>0</v>
      </c>
      <c r="R120" s="125"/>
      <c r="S120" s="124">
        <f t="shared" si="47"/>
        <v>8000</v>
      </c>
      <c r="T120" s="125"/>
      <c r="U120" s="125">
        <v>7700</v>
      </c>
      <c r="V120" s="125">
        <f t="shared" si="48"/>
        <v>-300</v>
      </c>
      <c r="X120" s="125">
        <v>7500</v>
      </c>
      <c r="Y120" s="125">
        <f t="shared" si="49"/>
        <v>-500</v>
      </c>
    </row>
    <row r="121" spans="1:25" s="94" customFormat="1" ht="12" customHeight="1" x14ac:dyDescent="0.2">
      <c r="A121" s="161"/>
      <c r="B121" s="161" t="s">
        <v>70</v>
      </c>
      <c r="C121" s="121">
        <v>5803</v>
      </c>
      <c r="D121" s="165" t="s">
        <v>161</v>
      </c>
      <c r="E121" s="166">
        <v>0</v>
      </c>
      <c r="F121" s="166">
        <v>772.35</v>
      </c>
      <c r="G121" s="166">
        <v>146.07</v>
      </c>
      <c r="H121" s="166">
        <v>1638.39</v>
      </c>
      <c r="I121" s="98">
        <v>8406.31</v>
      </c>
      <c r="J121" s="108">
        <v>12220.92</v>
      </c>
      <c r="K121" s="98">
        <v>995.54</v>
      </c>
      <c r="L121" s="108">
        <v>3098.18</v>
      </c>
      <c r="M121" s="108">
        <v>2335.96</v>
      </c>
      <c r="N121" s="108">
        <v>310.64999999999998</v>
      </c>
      <c r="O121" s="108">
        <v>1083</v>
      </c>
      <c r="P121" s="167">
        <v>1375</v>
      </c>
      <c r="Q121" s="146">
        <v>0</v>
      </c>
      <c r="R121" s="125"/>
      <c r="S121" s="124">
        <f t="shared" si="47"/>
        <v>32382.370000000003</v>
      </c>
      <c r="T121" s="125"/>
      <c r="U121" s="125">
        <v>18900</v>
      </c>
      <c r="V121" s="125">
        <f t="shared" si="48"/>
        <v>-13482.370000000003</v>
      </c>
      <c r="X121" s="125">
        <v>18319.109999999997</v>
      </c>
      <c r="Y121" s="125">
        <f t="shared" si="49"/>
        <v>-14063.260000000006</v>
      </c>
    </row>
    <row r="122" spans="1:25" s="94" customFormat="1" ht="12" customHeight="1" x14ac:dyDescent="0.2">
      <c r="A122" s="161"/>
      <c r="B122" s="161" t="s">
        <v>70</v>
      </c>
      <c r="C122" s="121">
        <v>5804</v>
      </c>
      <c r="D122" s="165" t="s">
        <v>162</v>
      </c>
      <c r="E122" s="166">
        <v>0</v>
      </c>
      <c r="F122" s="166">
        <v>0</v>
      </c>
      <c r="G122" s="166">
        <v>1045</v>
      </c>
      <c r="H122" s="166">
        <v>0</v>
      </c>
      <c r="I122" s="98">
        <v>-300</v>
      </c>
      <c r="J122" s="98">
        <v>0</v>
      </c>
      <c r="K122" s="98">
        <v>0</v>
      </c>
      <c r="L122" s="108">
        <v>0</v>
      </c>
      <c r="M122" s="108">
        <v>2897</v>
      </c>
      <c r="N122" s="108">
        <v>0</v>
      </c>
      <c r="O122" s="108">
        <v>0</v>
      </c>
      <c r="P122" s="167">
        <v>530</v>
      </c>
      <c r="Q122" s="146">
        <v>0</v>
      </c>
      <c r="R122" s="125"/>
      <c r="S122" s="124">
        <f t="shared" si="47"/>
        <v>4172</v>
      </c>
      <c r="T122" s="125"/>
      <c r="U122" s="125">
        <v>6100</v>
      </c>
      <c r="V122" s="125">
        <f t="shared" si="48"/>
        <v>1928</v>
      </c>
      <c r="X122" s="125">
        <v>5911</v>
      </c>
      <c r="Y122" s="125">
        <f t="shared" si="49"/>
        <v>1739</v>
      </c>
    </row>
    <row r="123" spans="1:25" s="94" customFormat="1" ht="12" customHeight="1" x14ac:dyDescent="0.2">
      <c r="A123" s="161"/>
      <c r="B123" s="161" t="s">
        <v>70</v>
      </c>
      <c r="C123" s="121">
        <v>5805</v>
      </c>
      <c r="D123" s="165" t="s">
        <v>163</v>
      </c>
      <c r="E123" s="166">
        <v>477.5</v>
      </c>
      <c r="F123" s="166">
        <v>7062.5</v>
      </c>
      <c r="G123" s="166">
        <v>347.5</v>
      </c>
      <c r="H123" s="166">
        <v>2127.5</v>
      </c>
      <c r="I123" s="98">
        <v>3511.5</v>
      </c>
      <c r="J123" s="108">
        <v>4325</v>
      </c>
      <c r="K123" s="98">
        <v>2663.15</v>
      </c>
      <c r="L123" s="108">
        <v>2790</v>
      </c>
      <c r="M123" s="108">
        <v>6698</v>
      </c>
      <c r="N123" s="108">
        <v>3246</v>
      </c>
      <c r="O123" s="108">
        <v>3607.5</v>
      </c>
      <c r="P123" s="167">
        <v>2850</v>
      </c>
      <c r="Q123" s="146">
        <v>0</v>
      </c>
      <c r="R123" s="125"/>
      <c r="S123" s="124">
        <f t="shared" si="47"/>
        <v>39706.15</v>
      </c>
      <c r="T123" s="125"/>
      <c r="U123" s="125">
        <v>21100</v>
      </c>
      <c r="V123" s="125">
        <f t="shared" si="48"/>
        <v>-18606.150000000001</v>
      </c>
      <c r="X123" s="125">
        <v>20523.5</v>
      </c>
      <c r="Y123" s="125">
        <f t="shared" si="49"/>
        <v>-19182.650000000001</v>
      </c>
    </row>
    <row r="124" spans="1:25" s="94" customFormat="1" ht="12" customHeight="1" x14ac:dyDescent="0.2">
      <c r="A124" s="161"/>
      <c r="B124" s="161" t="s">
        <v>70</v>
      </c>
      <c r="C124" s="121">
        <v>5806</v>
      </c>
      <c r="D124" s="165" t="s">
        <v>164</v>
      </c>
      <c r="E124" s="166">
        <v>0</v>
      </c>
      <c r="F124" s="166">
        <v>0</v>
      </c>
      <c r="G124" s="166">
        <v>0</v>
      </c>
      <c r="H124" s="166">
        <v>0</v>
      </c>
      <c r="I124" s="98">
        <v>0</v>
      </c>
      <c r="J124" s="98">
        <v>0</v>
      </c>
      <c r="K124" s="98">
        <v>0</v>
      </c>
      <c r="L124" s="168">
        <v>0</v>
      </c>
      <c r="M124" s="168">
        <v>0</v>
      </c>
      <c r="N124" s="108">
        <v>2100</v>
      </c>
      <c r="O124" s="108">
        <v>0</v>
      </c>
      <c r="P124" s="167">
        <v>0</v>
      </c>
      <c r="Q124" s="146">
        <v>0</v>
      </c>
      <c r="R124" s="125"/>
      <c r="S124" s="124">
        <f>SUM(E124:Q124)</f>
        <v>2100</v>
      </c>
      <c r="T124" s="125"/>
      <c r="U124" s="125">
        <v>0</v>
      </c>
      <c r="V124" s="125">
        <f>U124-S124</f>
        <v>-2100</v>
      </c>
      <c r="X124" s="125">
        <v>0</v>
      </c>
      <c r="Y124" s="125">
        <f>X124-S124</f>
        <v>-2100</v>
      </c>
    </row>
    <row r="125" spans="1:25" s="94" customFormat="1" ht="12" customHeight="1" x14ac:dyDescent="0.2">
      <c r="A125" s="161"/>
      <c r="B125" s="161" t="s">
        <v>70</v>
      </c>
      <c r="C125" s="121">
        <v>5807</v>
      </c>
      <c r="D125" s="165" t="s">
        <v>165</v>
      </c>
      <c r="E125" s="166">
        <v>10</v>
      </c>
      <c r="F125" s="166">
        <v>0</v>
      </c>
      <c r="G125" s="166">
        <v>0</v>
      </c>
      <c r="H125" s="166">
        <v>0</v>
      </c>
      <c r="I125" s="98">
        <v>0</v>
      </c>
      <c r="J125" s="98">
        <v>0</v>
      </c>
      <c r="K125" s="98">
        <v>0</v>
      </c>
      <c r="L125" s="108">
        <v>10</v>
      </c>
      <c r="M125" s="108">
        <v>0</v>
      </c>
      <c r="N125" s="108">
        <v>0</v>
      </c>
      <c r="O125" s="108">
        <v>0</v>
      </c>
      <c r="P125" s="125">
        <v>0</v>
      </c>
      <c r="Q125" s="146">
        <v>0</v>
      </c>
      <c r="R125" s="125"/>
      <c r="S125" s="124">
        <f>SUM(E125:Q125)</f>
        <v>20</v>
      </c>
      <c r="T125" s="125"/>
      <c r="U125" s="125">
        <v>0</v>
      </c>
      <c r="V125" s="125">
        <f>U125-S125</f>
        <v>-20</v>
      </c>
      <c r="X125" s="125">
        <v>40</v>
      </c>
      <c r="Y125" s="125">
        <f>X125-S125</f>
        <v>20</v>
      </c>
    </row>
    <row r="126" spans="1:25" s="94" customFormat="1" ht="12" customHeight="1" x14ac:dyDescent="0.2">
      <c r="A126" s="161"/>
      <c r="B126" s="161" t="s">
        <v>70</v>
      </c>
      <c r="C126" s="121">
        <v>5808</v>
      </c>
      <c r="D126" s="165" t="s">
        <v>166</v>
      </c>
      <c r="E126" s="166">
        <v>-32.85</v>
      </c>
      <c r="F126" s="166">
        <v>9724.7800000000007</v>
      </c>
      <c r="G126" s="166">
        <v>32.85</v>
      </c>
      <c r="H126" s="166">
        <v>10346.450000000001</v>
      </c>
      <c r="I126" s="98">
        <v>711.61</v>
      </c>
      <c r="J126" s="108">
        <v>2789.2</v>
      </c>
      <c r="K126" s="98">
        <v>5696.01</v>
      </c>
      <c r="L126" s="108">
        <v>6097.72</v>
      </c>
      <c r="M126" s="108">
        <v>384.29</v>
      </c>
      <c r="N126" s="108">
        <v>2343.3000000000002</v>
      </c>
      <c r="O126" s="108">
        <v>553.25</v>
      </c>
      <c r="P126" s="167">
        <v>120</v>
      </c>
      <c r="Q126" s="146">
        <v>0</v>
      </c>
      <c r="R126" s="125"/>
      <c r="S126" s="124">
        <f>SUM(E126:Q126)</f>
        <v>38766.610000000008</v>
      </c>
      <c r="T126" s="125"/>
      <c r="U126" s="125">
        <v>1300</v>
      </c>
      <c r="V126" s="125">
        <f>U126-S126</f>
        <v>-37466.610000000008</v>
      </c>
      <c r="X126" s="125">
        <v>1309.26</v>
      </c>
      <c r="Y126" s="125">
        <f>X126-S126</f>
        <v>-37457.350000000006</v>
      </c>
    </row>
    <row r="127" spans="1:25" s="94" customFormat="1" ht="12" customHeight="1" x14ac:dyDescent="0.2">
      <c r="A127" s="161"/>
      <c r="B127" s="161" t="s">
        <v>70</v>
      </c>
      <c r="C127" s="121">
        <v>5809</v>
      </c>
      <c r="D127" s="165" t="s">
        <v>167</v>
      </c>
      <c r="E127" s="166">
        <v>-308</v>
      </c>
      <c r="F127" s="166">
        <v>196</v>
      </c>
      <c r="G127" s="166">
        <v>86</v>
      </c>
      <c r="H127" s="166">
        <v>1422</v>
      </c>
      <c r="I127" s="98">
        <v>112</v>
      </c>
      <c r="J127" s="98">
        <v>93.29</v>
      </c>
      <c r="K127" s="98">
        <v>711</v>
      </c>
      <c r="L127" s="108">
        <v>176.58</v>
      </c>
      <c r="M127" s="108">
        <v>0</v>
      </c>
      <c r="N127" s="108">
        <v>0</v>
      </c>
      <c r="O127" s="108">
        <v>0</v>
      </c>
      <c r="P127" s="167">
        <v>530</v>
      </c>
      <c r="Q127" s="146">
        <v>0</v>
      </c>
      <c r="R127" s="125"/>
      <c r="S127" s="124">
        <f>SUM(E127:Q127)</f>
        <v>3018.87</v>
      </c>
      <c r="T127" s="125"/>
      <c r="U127" s="125">
        <v>6000</v>
      </c>
      <c r="V127" s="125">
        <f>U127-S127</f>
        <v>2981.13</v>
      </c>
      <c r="X127" s="125">
        <v>5830.59</v>
      </c>
      <c r="Y127" s="125">
        <f>X127-S127</f>
        <v>2811.7200000000003</v>
      </c>
    </row>
    <row r="128" spans="1:25" s="94" customFormat="1" ht="12" customHeight="1" x14ac:dyDescent="0.2">
      <c r="A128" s="161"/>
      <c r="B128" s="161" t="s">
        <v>70</v>
      </c>
      <c r="C128" s="121">
        <v>5810</v>
      </c>
      <c r="D128" s="165" t="s">
        <v>168</v>
      </c>
      <c r="E128" s="166">
        <v>20</v>
      </c>
      <c r="F128" s="166">
        <v>422.25</v>
      </c>
      <c r="G128" s="166">
        <v>541</v>
      </c>
      <c r="H128" s="166">
        <v>0</v>
      </c>
      <c r="I128" s="98">
        <v>1002.69</v>
      </c>
      <c r="J128" s="98">
        <v>0</v>
      </c>
      <c r="K128" s="98">
        <v>244.25</v>
      </c>
      <c r="L128" s="108">
        <v>1307</v>
      </c>
      <c r="M128" s="108">
        <v>550.5</v>
      </c>
      <c r="N128" s="108">
        <v>433.75</v>
      </c>
      <c r="O128" s="108">
        <v>404.75</v>
      </c>
      <c r="P128" s="125">
        <v>433.33333333333331</v>
      </c>
      <c r="Q128" s="146">
        <v>0</v>
      </c>
      <c r="R128" s="125"/>
      <c r="S128" s="124">
        <f t="shared" si="47"/>
        <v>5359.5233333333335</v>
      </c>
      <c r="T128" s="125"/>
      <c r="U128" s="125">
        <v>5900.0000000000009</v>
      </c>
      <c r="V128" s="125">
        <f t="shared" si="48"/>
        <v>540.47666666666737</v>
      </c>
      <c r="X128" s="125">
        <v>5722.5000000000009</v>
      </c>
      <c r="Y128" s="125">
        <f t="shared" si="49"/>
        <v>362.97666666666737</v>
      </c>
    </row>
    <row r="129" spans="1:25" s="94" customFormat="1" ht="12" customHeight="1" x14ac:dyDescent="0.2">
      <c r="A129" s="161"/>
      <c r="B129" s="161" t="s">
        <v>70</v>
      </c>
      <c r="C129" s="121">
        <v>5811</v>
      </c>
      <c r="D129" s="165" t="s">
        <v>169</v>
      </c>
      <c r="E129" s="166">
        <v>7914</v>
      </c>
      <c r="F129" s="166">
        <v>8629</v>
      </c>
      <c r="G129" s="166">
        <v>9051.09</v>
      </c>
      <c r="H129" s="166">
        <v>9701.5</v>
      </c>
      <c r="I129" s="98">
        <v>10194</v>
      </c>
      <c r="J129" s="98">
        <v>7919</v>
      </c>
      <c r="K129" s="98">
        <v>10064</v>
      </c>
      <c r="L129" s="108">
        <v>11038.5</v>
      </c>
      <c r="M129" s="108">
        <v>9126.5</v>
      </c>
      <c r="N129" s="108">
        <v>9874</v>
      </c>
      <c r="O129" s="108">
        <v>9289</v>
      </c>
      <c r="P129" s="125">
        <v>7415.4390792796248</v>
      </c>
      <c r="Q129" s="146">
        <v>0</v>
      </c>
      <c r="R129" s="125"/>
      <c r="S129" s="124">
        <f t="shared" si="47"/>
        <v>110216.02907927961</v>
      </c>
      <c r="T129" s="125"/>
      <c r="U129" s="125">
        <v>102046.51679516317</v>
      </c>
      <c r="V129" s="125">
        <f t="shared" si="48"/>
        <v>-8169.5122841164412</v>
      </c>
      <c r="X129" s="125">
        <v>85640.573341491443</v>
      </c>
      <c r="Y129" s="125">
        <f t="shared" si="49"/>
        <v>-24575.455737788172</v>
      </c>
    </row>
    <row r="130" spans="1:25" s="94" customFormat="1" ht="12" customHeight="1" x14ac:dyDescent="0.2">
      <c r="A130" s="161"/>
      <c r="B130" s="161" t="s">
        <v>70</v>
      </c>
      <c r="C130" s="121">
        <v>5812</v>
      </c>
      <c r="D130" s="165" t="s">
        <v>170</v>
      </c>
      <c r="E130" s="166">
        <v>1779</v>
      </c>
      <c r="F130" s="166">
        <v>3559</v>
      </c>
      <c r="G130" s="166">
        <v>2373</v>
      </c>
      <c r="H130" s="166">
        <v>2373</v>
      </c>
      <c r="I130" s="98">
        <v>2373</v>
      </c>
      <c r="J130" s="98">
        <v>2373</v>
      </c>
      <c r="K130" s="98">
        <v>2373</v>
      </c>
      <c r="L130" s="108">
        <v>4152</v>
      </c>
      <c r="M130" s="108">
        <v>445</v>
      </c>
      <c r="N130" s="108">
        <v>1932</v>
      </c>
      <c r="O130" s="108">
        <v>1932</v>
      </c>
      <c r="P130" s="125">
        <v>1437.0939491348004</v>
      </c>
      <c r="Q130" s="146">
        <v>1877.2357711001969</v>
      </c>
      <c r="R130" s="125"/>
      <c r="S130" s="124">
        <f t="shared" si="47"/>
        <v>28978.329720234997</v>
      </c>
      <c r="T130" s="125"/>
      <c r="U130" s="125">
        <v>31101.736804379998</v>
      </c>
      <c r="V130" s="125">
        <f t="shared" si="48"/>
        <v>2123.4070841450011</v>
      </c>
      <c r="X130" s="125">
        <v>29302.311765490002</v>
      </c>
      <c r="Y130" s="125">
        <f t="shared" si="49"/>
        <v>323.98204525500478</v>
      </c>
    </row>
    <row r="131" spans="1:25" s="94" customFormat="1" ht="12" customHeight="1" x14ac:dyDescent="0.2">
      <c r="A131" s="161"/>
      <c r="B131" s="161" t="s">
        <v>70</v>
      </c>
      <c r="C131" s="121">
        <v>5813</v>
      </c>
      <c r="D131" s="165" t="s">
        <v>171</v>
      </c>
      <c r="E131" s="166">
        <v>0</v>
      </c>
      <c r="F131" s="166">
        <v>0</v>
      </c>
      <c r="G131" s="166">
        <v>0</v>
      </c>
      <c r="H131" s="166">
        <v>0</v>
      </c>
      <c r="I131" s="98">
        <v>159.4</v>
      </c>
      <c r="J131" s="98">
        <v>159.4</v>
      </c>
      <c r="K131" s="98">
        <v>159.4</v>
      </c>
      <c r="L131" s="98">
        <v>159.4</v>
      </c>
      <c r="M131" s="98">
        <v>159.4</v>
      </c>
      <c r="N131" s="108">
        <v>159.4</v>
      </c>
      <c r="O131" s="108">
        <v>5098.8999999999996</v>
      </c>
      <c r="P131" s="125">
        <v>0</v>
      </c>
      <c r="Q131" s="146">
        <v>1450</v>
      </c>
      <c r="R131" s="125"/>
      <c r="S131" s="124">
        <f t="shared" si="47"/>
        <v>7505.2999999999993</v>
      </c>
      <c r="T131" s="125"/>
      <c r="U131" s="125">
        <v>6600</v>
      </c>
      <c r="V131" s="125">
        <f t="shared" si="48"/>
        <v>-905.29999999999927</v>
      </c>
      <c r="X131" s="125">
        <v>6400</v>
      </c>
      <c r="Y131" s="125">
        <f t="shared" si="49"/>
        <v>-1105.2999999999993</v>
      </c>
    </row>
    <row r="132" spans="1:25" s="94" customFormat="1" ht="12" customHeight="1" x14ac:dyDescent="0.2">
      <c r="A132" s="161"/>
      <c r="B132" s="161" t="s">
        <v>70</v>
      </c>
      <c r="C132" s="121">
        <v>5814</v>
      </c>
      <c r="D132" s="165" t="s">
        <v>172</v>
      </c>
      <c r="E132" s="166">
        <v>3162</v>
      </c>
      <c r="F132" s="166">
        <v>6322</v>
      </c>
      <c r="G132" s="166">
        <v>4214</v>
      </c>
      <c r="H132" s="166">
        <v>5488</v>
      </c>
      <c r="I132" s="98">
        <v>4514</v>
      </c>
      <c r="J132" s="98">
        <v>4514</v>
      </c>
      <c r="K132" s="98">
        <v>4514</v>
      </c>
      <c r="L132" s="108">
        <v>7900</v>
      </c>
      <c r="M132" s="108">
        <v>-1232</v>
      </c>
      <c r="N132" s="108">
        <v>3490</v>
      </c>
      <c r="O132" s="108">
        <v>3490</v>
      </c>
      <c r="P132" s="167">
        <v>153.3782400000002</v>
      </c>
      <c r="Q132" s="146">
        <v>-4193.7454399999915</v>
      </c>
      <c r="R132" s="125"/>
      <c r="S132" s="124">
        <f t="shared" si="47"/>
        <v>42335.632800000007</v>
      </c>
      <c r="T132" s="125"/>
      <c r="U132" s="125">
        <v>48407.021999999997</v>
      </c>
      <c r="V132" s="125">
        <f t="shared" si="48"/>
        <v>6071.3891999999905</v>
      </c>
      <c r="X132" s="125">
        <v>47586.564000000006</v>
      </c>
      <c r="Y132" s="125">
        <f t="shared" si="49"/>
        <v>5250.9311999999991</v>
      </c>
    </row>
    <row r="133" spans="1:25" s="94" customFormat="1" ht="12" customHeight="1" x14ac:dyDescent="0.2">
      <c r="A133" s="161"/>
      <c r="B133" s="161" t="s">
        <v>70</v>
      </c>
      <c r="C133" s="121">
        <v>5815</v>
      </c>
      <c r="D133" s="165" t="s">
        <v>173</v>
      </c>
      <c r="E133" s="166">
        <v>0</v>
      </c>
      <c r="F133" s="166">
        <v>0</v>
      </c>
      <c r="G133" s="166">
        <v>0</v>
      </c>
      <c r="H133" s="166">
        <v>0</v>
      </c>
      <c r="I133" s="98">
        <v>0</v>
      </c>
      <c r="J133" s="98">
        <v>0</v>
      </c>
      <c r="K133" s="98">
        <v>0</v>
      </c>
      <c r="L133" s="108">
        <v>0</v>
      </c>
      <c r="M133" s="108">
        <v>0</v>
      </c>
      <c r="N133" s="108">
        <v>0</v>
      </c>
      <c r="O133" s="108">
        <v>0</v>
      </c>
      <c r="P133" s="167">
        <v>520</v>
      </c>
      <c r="Q133" s="146">
        <v>0</v>
      </c>
      <c r="R133" s="125"/>
      <c r="S133" s="124">
        <f>SUM(E133:Q133)</f>
        <v>520</v>
      </c>
      <c r="T133" s="125"/>
      <c r="U133" s="125">
        <v>5900</v>
      </c>
      <c r="V133" s="125">
        <f>U133-S133</f>
        <v>5380</v>
      </c>
      <c r="X133" s="125">
        <v>5760</v>
      </c>
      <c r="Y133" s="125">
        <f>X133-S133</f>
        <v>5240</v>
      </c>
    </row>
    <row r="134" spans="1:25" s="94" customFormat="1" ht="12" customHeight="1" x14ac:dyDescent="0.2">
      <c r="A134" s="161"/>
      <c r="B134" s="161" t="s">
        <v>70</v>
      </c>
      <c r="C134" s="163"/>
      <c r="D134" s="163"/>
      <c r="E134" s="129">
        <f t="shared" ref="E134:Q134" si="50">SUM(E119:E133)</f>
        <v>13294.57</v>
      </c>
      <c r="F134" s="129">
        <f t="shared" si="50"/>
        <v>36960.800000000003</v>
      </c>
      <c r="G134" s="129">
        <f t="shared" si="50"/>
        <v>26622.720000000001</v>
      </c>
      <c r="H134" s="129">
        <f t="shared" si="50"/>
        <v>36536.839999999997</v>
      </c>
      <c r="I134" s="129">
        <f t="shared" si="50"/>
        <v>42724.51</v>
      </c>
      <c r="J134" s="129">
        <f t="shared" si="50"/>
        <v>37233.81</v>
      </c>
      <c r="K134" s="129">
        <f t="shared" si="50"/>
        <v>30260.350000000002</v>
      </c>
      <c r="L134" s="130">
        <f t="shared" si="50"/>
        <v>39569.380000000005</v>
      </c>
      <c r="M134" s="130">
        <f t="shared" si="50"/>
        <v>24204.65</v>
      </c>
      <c r="N134" s="130">
        <f t="shared" si="50"/>
        <v>24029.100000000002</v>
      </c>
      <c r="O134" s="130">
        <f t="shared" si="50"/>
        <v>32498.400000000001</v>
      </c>
      <c r="P134" s="131">
        <f t="shared" si="50"/>
        <v>18697.577935081095</v>
      </c>
      <c r="Q134" s="130">
        <f t="shared" si="50"/>
        <v>-866.50966889979463</v>
      </c>
      <c r="R134" s="125"/>
      <c r="S134" s="132">
        <f>SUM(E134:R134)</f>
        <v>361766.19826618128</v>
      </c>
      <c r="T134" s="125"/>
      <c r="U134" s="133">
        <v>301055.27559954312</v>
      </c>
      <c r="V134" s="133">
        <f>SUM(V119:V133)</f>
        <v>-60710.922666638129</v>
      </c>
      <c r="X134" s="133">
        <f>SUM(X119:X133)</f>
        <v>280125.38910698146</v>
      </c>
      <c r="Y134" s="133">
        <f>SUM(Y119:Y133)</f>
        <v>-81640.809159199853</v>
      </c>
    </row>
    <row r="135" spans="1:25" s="94" customFormat="1" ht="12" customHeight="1" x14ac:dyDescent="0.2">
      <c r="A135" s="161"/>
      <c r="B135" s="161" t="s">
        <v>174</v>
      </c>
      <c r="C135" s="121"/>
      <c r="D135" s="128"/>
      <c r="E135" s="151"/>
      <c r="F135" s="151"/>
      <c r="G135" s="151"/>
      <c r="H135" s="151"/>
      <c r="I135" s="98"/>
      <c r="J135" s="98"/>
      <c r="K135" s="98"/>
      <c r="L135" s="146"/>
      <c r="M135" s="146"/>
      <c r="N135" s="146"/>
      <c r="O135" s="146"/>
      <c r="P135" s="125"/>
      <c r="Q135" s="146"/>
      <c r="R135" s="125"/>
      <c r="S135" s="136"/>
      <c r="T135" s="125"/>
      <c r="U135" s="125"/>
      <c r="V135" s="125"/>
      <c r="X135" s="125"/>
      <c r="Y135" s="125"/>
    </row>
    <row r="136" spans="1:25" s="94" customFormat="1" ht="12" customHeight="1" x14ac:dyDescent="0.2">
      <c r="A136" s="161"/>
      <c r="B136" s="161" t="s">
        <v>70</v>
      </c>
      <c r="C136" s="121">
        <v>6900</v>
      </c>
      <c r="D136" s="128" t="s">
        <v>175</v>
      </c>
      <c r="E136" s="151">
        <v>1549.43</v>
      </c>
      <c r="F136" s="151">
        <v>1566.22</v>
      </c>
      <c r="G136" s="151">
        <v>1247.8499999999999</v>
      </c>
      <c r="H136" s="151">
        <v>1396.82</v>
      </c>
      <c r="I136" s="98">
        <v>1397.02</v>
      </c>
      <c r="J136" s="98">
        <v>1235.42</v>
      </c>
      <c r="K136" s="98">
        <v>1235.42</v>
      </c>
      <c r="L136" s="108">
        <v>1235.42</v>
      </c>
      <c r="M136" s="108">
        <v>1235.42</v>
      </c>
      <c r="N136" s="108">
        <v>1235.42</v>
      </c>
      <c r="O136" s="108">
        <v>1233.03</v>
      </c>
      <c r="P136" s="125">
        <v>1441.6666666666667</v>
      </c>
      <c r="Q136" s="146">
        <v>0</v>
      </c>
      <c r="R136" s="125"/>
      <c r="S136" s="124">
        <f t="shared" ref="S136" si="51">SUM(E136:Q136)</f>
        <v>16009.136666666667</v>
      </c>
      <c r="T136" s="125"/>
      <c r="U136" s="125">
        <v>19800</v>
      </c>
      <c r="V136" s="125">
        <f t="shared" ref="V136" si="52">U136-S136</f>
        <v>3790.8633333333328</v>
      </c>
      <c r="X136" s="125">
        <v>19217.600000000002</v>
      </c>
      <c r="Y136" s="125">
        <f t="shared" ref="Y136" si="53">X136-S136</f>
        <v>3208.463333333335</v>
      </c>
    </row>
    <row r="137" spans="1:25" s="94" customFormat="1" ht="12" customHeight="1" x14ac:dyDescent="0.2">
      <c r="A137" s="161"/>
      <c r="B137" s="161" t="s">
        <v>70</v>
      </c>
      <c r="C137" s="163"/>
      <c r="D137" s="163"/>
      <c r="E137" s="129">
        <f t="shared" ref="E137:Q137" si="54">SUM(E136:E136)</f>
        <v>1549.43</v>
      </c>
      <c r="F137" s="129">
        <f t="shared" si="54"/>
        <v>1566.22</v>
      </c>
      <c r="G137" s="129">
        <f t="shared" si="54"/>
        <v>1247.8499999999999</v>
      </c>
      <c r="H137" s="129">
        <f t="shared" si="54"/>
        <v>1396.82</v>
      </c>
      <c r="I137" s="129">
        <f t="shared" si="54"/>
        <v>1397.02</v>
      </c>
      <c r="J137" s="129">
        <f t="shared" si="54"/>
        <v>1235.42</v>
      </c>
      <c r="K137" s="129">
        <f t="shared" si="54"/>
        <v>1235.42</v>
      </c>
      <c r="L137" s="130">
        <f t="shared" si="54"/>
        <v>1235.42</v>
      </c>
      <c r="M137" s="130">
        <f t="shared" si="54"/>
        <v>1235.42</v>
      </c>
      <c r="N137" s="130">
        <f t="shared" si="54"/>
        <v>1235.42</v>
      </c>
      <c r="O137" s="130">
        <f t="shared" si="54"/>
        <v>1233.03</v>
      </c>
      <c r="P137" s="131">
        <f t="shared" si="54"/>
        <v>1441.6666666666667</v>
      </c>
      <c r="Q137" s="130">
        <f t="shared" si="54"/>
        <v>0</v>
      </c>
      <c r="R137" s="125"/>
      <c r="S137" s="132">
        <f>SUM(E137:R137)</f>
        <v>16009.136666666667</v>
      </c>
      <c r="T137" s="158"/>
      <c r="U137" s="133">
        <v>19800</v>
      </c>
      <c r="V137" s="133">
        <f>V136</f>
        <v>3790.8633333333328</v>
      </c>
      <c r="X137" s="133">
        <f>X136</f>
        <v>19217.600000000002</v>
      </c>
      <c r="Y137" s="133">
        <f>Y136</f>
        <v>3208.463333333335</v>
      </c>
    </row>
    <row r="138" spans="1:25" s="94" customFormat="1" ht="12" hidden="1" customHeight="1" x14ac:dyDescent="0.2">
      <c r="A138" s="161"/>
      <c r="B138" s="161" t="s">
        <v>176</v>
      </c>
      <c r="C138" s="121"/>
      <c r="D138" s="128"/>
      <c r="E138" s="151"/>
      <c r="F138" s="151"/>
      <c r="G138" s="151"/>
      <c r="H138" s="125"/>
      <c r="I138" s="151"/>
      <c r="J138" s="125"/>
      <c r="K138" s="125"/>
      <c r="L138" s="146"/>
      <c r="M138" s="146"/>
      <c r="N138" s="146"/>
      <c r="O138" s="146"/>
      <c r="P138" s="125"/>
      <c r="Q138" s="146"/>
      <c r="R138" s="125"/>
      <c r="S138" s="136"/>
      <c r="T138" s="125"/>
      <c r="U138" s="125"/>
      <c r="V138" s="125"/>
      <c r="X138" s="125"/>
      <c r="Y138" s="125"/>
    </row>
    <row r="139" spans="1:25" s="94" customFormat="1" ht="12" hidden="1" customHeight="1" x14ac:dyDescent="0.2">
      <c r="A139" s="161"/>
      <c r="B139" s="161" t="s">
        <v>70</v>
      </c>
      <c r="C139" s="121">
        <v>7438</v>
      </c>
      <c r="D139" s="128" t="s">
        <v>177</v>
      </c>
      <c r="E139" s="151">
        <v>0</v>
      </c>
      <c r="F139" s="151">
        <f t="shared" ref="F139:O139" si="55">F163*0.04</f>
        <v>0</v>
      </c>
      <c r="G139" s="151">
        <f t="shared" si="55"/>
        <v>0</v>
      </c>
      <c r="H139" s="125">
        <f t="shared" si="55"/>
        <v>0</v>
      </c>
      <c r="I139" s="151">
        <f t="shared" si="55"/>
        <v>0</v>
      </c>
      <c r="J139" s="125">
        <f t="shared" si="55"/>
        <v>0</v>
      </c>
      <c r="K139" s="125">
        <f t="shared" si="55"/>
        <v>0</v>
      </c>
      <c r="L139" s="146">
        <f t="shared" si="55"/>
        <v>0</v>
      </c>
      <c r="M139" s="146">
        <f t="shared" si="55"/>
        <v>0</v>
      </c>
      <c r="N139" s="146">
        <f t="shared" si="55"/>
        <v>0</v>
      </c>
      <c r="O139" s="146">
        <f t="shared" si="55"/>
        <v>0</v>
      </c>
      <c r="P139" s="125">
        <f>P163*0.04</f>
        <v>0</v>
      </c>
      <c r="Q139" s="146">
        <v>0</v>
      </c>
      <c r="R139" s="125"/>
      <c r="S139" s="124">
        <f t="shared" ref="S139" si="56">SUM(E139:Q139)</f>
        <v>0</v>
      </c>
      <c r="T139" s="125"/>
      <c r="U139" s="125">
        <v>0</v>
      </c>
      <c r="V139" s="125">
        <f t="shared" ref="V139" si="57">U139-S139</f>
        <v>0</v>
      </c>
      <c r="X139" s="125">
        <v>10587.73</v>
      </c>
      <c r="Y139" s="125">
        <f t="shared" ref="Y139" si="58">X139-S139</f>
        <v>10587.73</v>
      </c>
    </row>
    <row r="140" spans="1:25" s="94" customFormat="1" ht="12" hidden="1" customHeight="1" x14ac:dyDescent="0.2">
      <c r="A140" s="161"/>
      <c r="B140" s="161"/>
      <c r="C140" s="163"/>
      <c r="D140" s="163"/>
      <c r="E140" s="129">
        <f t="shared" ref="E140:Q140" si="59">SUM(E139:E139)</f>
        <v>0</v>
      </c>
      <c r="F140" s="129">
        <f t="shared" si="59"/>
        <v>0</v>
      </c>
      <c r="G140" s="129">
        <f t="shared" si="59"/>
        <v>0</v>
      </c>
      <c r="H140" s="131">
        <f t="shared" si="59"/>
        <v>0</v>
      </c>
      <c r="I140" s="129">
        <f t="shared" si="59"/>
        <v>0</v>
      </c>
      <c r="J140" s="131">
        <f t="shared" si="59"/>
        <v>0</v>
      </c>
      <c r="K140" s="131">
        <f t="shared" si="59"/>
        <v>0</v>
      </c>
      <c r="L140" s="130">
        <f t="shared" si="59"/>
        <v>0</v>
      </c>
      <c r="M140" s="130">
        <f t="shared" si="59"/>
        <v>0</v>
      </c>
      <c r="N140" s="130">
        <f t="shared" si="59"/>
        <v>0</v>
      </c>
      <c r="O140" s="130">
        <f t="shared" si="59"/>
        <v>0</v>
      </c>
      <c r="P140" s="131">
        <f t="shared" si="59"/>
        <v>0</v>
      </c>
      <c r="Q140" s="130">
        <f t="shared" si="59"/>
        <v>0</v>
      </c>
      <c r="R140" s="125"/>
      <c r="S140" s="132">
        <f>SUM(E140:R140)</f>
        <v>0</v>
      </c>
      <c r="T140" s="158"/>
      <c r="U140" s="133">
        <v>0</v>
      </c>
      <c r="V140" s="133">
        <f>V139</f>
        <v>0</v>
      </c>
      <c r="X140" s="133">
        <f>X139</f>
        <v>10587.73</v>
      </c>
      <c r="Y140" s="133">
        <f>Y139</f>
        <v>10587.73</v>
      </c>
    </row>
    <row r="141" spans="1:25" s="94" customFormat="1" ht="12" customHeight="1" x14ac:dyDescent="0.2">
      <c r="A141" s="161"/>
      <c r="B141" s="161"/>
      <c r="C141" s="163"/>
      <c r="D141" s="163"/>
      <c r="E141" s="151"/>
      <c r="F141" s="151"/>
      <c r="G141" s="151"/>
      <c r="H141" s="151"/>
      <c r="I141" s="151"/>
      <c r="J141" s="151"/>
      <c r="K141" s="151"/>
      <c r="L141" s="146"/>
      <c r="M141" s="146"/>
      <c r="N141" s="146"/>
      <c r="O141" s="146"/>
      <c r="P141" s="125"/>
      <c r="Q141" s="146"/>
      <c r="R141" s="125"/>
      <c r="S141" s="136"/>
      <c r="T141" s="125"/>
      <c r="U141" s="125"/>
      <c r="V141" s="125"/>
      <c r="X141" s="125"/>
      <c r="Y141" s="125"/>
    </row>
    <row r="142" spans="1:25" s="119" customFormat="1" ht="12" customHeight="1" x14ac:dyDescent="0.2">
      <c r="A142" s="90" t="s">
        <v>178</v>
      </c>
      <c r="B142" s="90"/>
      <c r="C142" s="90"/>
      <c r="D142" s="90"/>
      <c r="E142" s="170">
        <f t="shared" ref="E142:Q142" si="60">E140+E137+E109+E117+E134+E98+E90+E79+E69+E62</f>
        <v>131153.44</v>
      </c>
      <c r="F142" s="170">
        <f t="shared" si="60"/>
        <v>286683.18000000005</v>
      </c>
      <c r="G142" s="170">
        <f t="shared" si="60"/>
        <v>350673.78</v>
      </c>
      <c r="H142" s="170">
        <f t="shared" si="60"/>
        <v>348457.51</v>
      </c>
      <c r="I142" s="170">
        <f t="shared" si="60"/>
        <v>358371.16000000003</v>
      </c>
      <c r="J142" s="170">
        <f t="shared" si="60"/>
        <v>347800.62</v>
      </c>
      <c r="K142" s="170">
        <f t="shared" si="60"/>
        <v>364711.33999999997</v>
      </c>
      <c r="L142" s="171">
        <f t="shared" si="60"/>
        <v>322694.16000000003</v>
      </c>
      <c r="M142" s="171">
        <f t="shared" si="60"/>
        <v>410515.69000000006</v>
      </c>
      <c r="N142" s="171">
        <f t="shared" si="60"/>
        <v>339202.42000000004</v>
      </c>
      <c r="O142" s="171">
        <f t="shared" si="60"/>
        <v>601727.19000000006</v>
      </c>
      <c r="P142" s="133">
        <f t="shared" si="60"/>
        <v>336319.15282588976</v>
      </c>
      <c r="Q142" s="171">
        <f t="shared" si="60"/>
        <v>340789.01760382741</v>
      </c>
      <c r="R142" s="158"/>
      <c r="S142" s="132">
        <f>S140+S137+S109+S117+S134+S98+S90+S79+S69+S62</f>
        <v>4539098.660429717</v>
      </c>
      <c r="T142" s="158"/>
      <c r="U142" s="133">
        <v>5170750.7471106471</v>
      </c>
      <c r="V142" s="133">
        <f>V140+V137+V109+V117+V134+V98+V90+V79+V69+V62</f>
        <v>631652.08668093057</v>
      </c>
      <c r="W142" s="94"/>
      <c r="X142" s="133">
        <f>X140+X137+X109+X117+X134+X98+X90+X79+X69+X62</f>
        <v>3801353.1002528286</v>
      </c>
      <c r="Y142" s="133">
        <f>Y140+Y137+Y109+Y117+Y134+Y98+Y90+Y79+Y69+Y62</f>
        <v>-737745.56017688941</v>
      </c>
    </row>
    <row r="143" spans="1:25" s="94" customFormat="1" ht="12" customHeight="1" x14ac:dyDescent="0.2">
      <c r="E143" s="151"/>
      <c r="F143" s="151"/>
      <c r="G143" s="151"/>
      <c r="H143" s="151"/>
      <c r="I143" s="151"/>
      <c r="J143" s="151"/>
      <c r="K143" s="151"/>
      <c r="L143" s="146"/>
      <c r="M143" s="146"/>
      <c r="N143" s="146"/>
      <c r="O143" s="146"/>
      <c r="P143" s="125"/>
      <c r="Q143" s="146"/>
      <c r="R143" s="125"/>
      <c r="S143" s="136"/>
      <c r="T143" s="158"/>
      <c r="U143" s="158"/>
      <c r="V143" s="158"/>
      <c r="X143" s="158"/>
      <c r="Y143" s="158"/>
    </row>
    <row r="144" spans="1:25" s="172" customFormat="1" ht="12" customHeight="1" thickBot="1" x14ac:dyDescent="0.25">
      <c r="A144" s="172" t="s">
        <v>179</v>
      </c>
      <c r="E144" s="173">
        <f t="shared" ref="E144:T144" si="61">E52-E142</f>
        <v>-66826.75</v>
      </c>
      <c r="F144" s="173">
        <f t="shared" si="61"/>
        <v>-38555.190000000061</v>
      </c>
      <c r="G144" s="173">
        <f t="shared" si="61"/>
        <v>-83541.25</v>
      </c>
      <c r="H144" s="173">
        <f t="shared" si="61"/>
        <v>18172.359999999986</v>
      </c>
      <c r="I144" s="173">
        <f t="shared" si="61"/>
        <v>16887.04999999993</v>
      </c>
      <c r="J144" s="173">
        <f t="shared" si="61"/>
        <v>54876.609999999986</v>
      </c>
      <c r="K144" s="174">
        <f t="shared" si="61"/>
        <v>291073.51</v>
      </c>
      <c r="L144" s="174">
        <f t="shared" si="61"/>
        <v>65394.729999999981</v>
      </c>
      <c r="M144" s="174">
        <f t="shared" si="61"/>
        <v>-245360.94000000006</v>
      </c>
      <c r="N144" s="174">
        <f t="shared" si="61"/>
        <v>153242.51999999996</v>
      </c>
      <c r="O144" s="174">
        <f t="shared" si="61"/>
        <v>-310456.55000000005</v>
      </c>
      <c r="P144" s="175">
        <f t="shared" si="61"/>
        <v>-182649.71239202822</v>
      </c>
      <c r="Q144" s="174">
        <f t="shared" si="61"/>
        <v>519688.8920397677</v>
      </c>
      <c r="R144" s="158">
        <f t="shared" si="61"/>
        <v>0</v>
      </c>
      <c r="S144" s="176">
        <f t="shared" si="61"/>
        <v>191945.2796477396</v>
      </c>
      <c r="T144" s="158">
        <f t="shared" si="61"/>
        <v>0</v>
      </c>
      <c r="U144" s="175">
        <v>255907.35547010321</v>
      </c>
      <c r="V144" s="175">
        <f>V52+V142</f>
        <v>-63962.075822362211</v>
      </c>
      <c r="W144" s="94"/>
      <c r="X144" s="175">
        <f>X52-X142</f>
        <v>447177.94923092891</v>
      </c>
      <c r="Y144" s="175">
        <f>Y52+Y142</f>
        <v>-255232.66958319035</v>
      </c>
    </row>
    <row r="145" spans="1:25" s="94" customFormat="1" ht="12" customHeight="1" thickTop="1" x14ac:dyDescent="0.2">
      <c r="E145" s="151"/>
      <c r="F145" s="151"/>
      <c r="G145" s="151"/>
      <c r="H145" s="151"/>
      <c r="I145" s="151"/>
      <c r="J145" s="151"/>
      <c r="K145" s="146"/>
      <c r="L145" s="146"/>
      <c r="M145" s="146"/>
      <c r="N145" s="146"/>
      <c r="O145" s="146"/>
      <c r="P145" s="125"/>
      <c r="Q145" s="146"/>
      <c r="R145" s="125"/>
      <c r="S145" s="177"/>
      <c r="T145" s="125"/>
      <c r="U145" s="125"/>
      <c r="V145" s="125"/>
      <c r="X145" s="125"/>
      <c r="Y145" s="125"/>
    </row>
    <row r="146" spans="1:25" s="94" customFormat="1" ht="12" customHeight="1" x14ac:dyDescent="0.2">
      <c r="A146" s="119" t="s">
        <v>180</v>
      </c>
      <c r="E146" s="151"/>
      <c r="F146" s="151"/>
      <c r="G146" s="151"/>
      <c r="H146" s="151"/>
      <c r="I146" s="151"/>
      <c r="J146" s="151"/>
      <c r="K146" s="146"/>
      <c r="L146" s="146"/>
      <c r="M146" s="146"/>
      <c r="N146" s="146"/>
      <c r="O146" s="146"/>
      <c r="P146" s="125"/>
      <c r="Q146" s="146"/>
      <c r="R146" s="125"/>
      <c r="S146" s="178"/>
      <c r="T146" s="125"/>
      <c r="U146" s="125"/>
      <c r="V146" s="125"/>
      <c r="X146" s="125"/>
      <c r="Y146" s="125"/>
    </row>
    <row r="147" spans="1:25" s="119" customFormat="1" ht="12" customHeight="1" x14ac:dyDescent="0.2">
      <c r="C147" s="94" t="s">
        <v>179</v>
      </c>
      <c r="D147" s="94"/>
      <c r="E147" s="151">
        <f t="shared" ref="E147:Q147" si="62">E144</f>
        <v>-66826.75</v>
      </c>
      <c r="F147" s="151">
        <f t="shared" si="62"/>
        <v>-38555.190000000061</v>
      </c>
      <c r="G147" s="151">
        <f t="shared" si="62"/>
        <v>-83541.25</v>
      </c>
      <c r="H147" s="151">
        <f t="shared" si="62"/>
        <v>18172.359999999986</v>
      </c>
      <c r="I147" s="151">
        <f t="shared" si="62"/>
        <v>16887.04999999993</v>
      </c>
      <c r="J147" s="151">
        <f t="shared" si="62"/>
        <v>54876.609999999986</v>
      </c>
      <c r="K147" s="146">
        <f t="shared" si="62"/>
        <v>291073.51</v>
      </c>
      <c r="L147" s="146">
        <f t="shared" si="62"/>
        <v>65394.729999999981</v>
      </c>
      <c r="M147" s="146">
        <f t="shared" si="62"/>
        <v>-245360.94000000006</v>
      </c>
      <c r="N147" s="146">
        <f t="shared" si="62"/>
        <v>153242.51999999996</v>
      </c>
      <c r="O147" s="146">
        <f t="shared" si="62"/>
        <v>-310456.55000000005</v>
      </c>
      <c r="P147" s="125">
        <f t="shared" si="62"/>
        <v>-182649.71239202822</v>
      </c>
      <c r="Q147" s="146">
        <f t="shared" si="62"/>
        <v>519688.8920397677</v>
      </c>
      <c r="R147" s="125"/>
      <c r="S147" s="136">
        <f>SUM(E147:R147)</f>
        <v>191945.27964773914</v>
      </c>
      <c r="T147" s="158"/>
      <c r="U147" s="158"/>
      <c r="V147" s="158"/>
      <c r="W147" s="94"/>
      <c r="X147" s="158"/>
      <c r="Y147" s="158"/>
    </row>
    <row r="148" spans="1:25" s="94" customFormat="1" ht="12" customHeight="1" x14ac:dyDescent="0.2">
      <c r="B148" s="94" t="s">
        <v>70</v>
      </c>
      <c r="C148" s="94" t="s">
        <v>181</v>
      </c>
      <c r="E148" s="151"/>
      <c r="F148" s="151"/>
      <c r="G148" s="151"/>
      <c r="H148" s="151"/>
      <c r="I148" s="151"/>
      <c r="J148" s="151"/>
      <c r="K148" s="146"/>
      <c r="L148" s="146"/>
      <c r="M148" s="146"/>
      <c r="N148" s="146"/>
      <c r="O148" s="146"/>
      <c r="P148" s="125"/>
      <c r="Q148" s="146"/>
      <c r="R148" s="125"/>
      <c r="S148" s="136"/>
      <c r="T148" s="125"/>
      <c r="U148" s="158"/>
      <c r="V148" s="158"/>
      <c r="X148" s="158"/>
      <c r="Y148" s="158"/>
    </row>
    <row r="149" spans="1:25" s="94" customFormat="1" ht="12" customHeight="1" x14ac:dyDescent="0.2">
      <c r="B149" s="94" t="s">
        <v>70</v>
      </c>
      <c r="D149" s="179" t="s">
        <v>182</v>
      </c>
      <c r="E149" s="151">
        <f t="shared" ref="E149:Q149" si="63">+E136</f>
        <v>1549.43</v>
      </c>
      <c r="F149" s="151">
        <f t="shared" si="63"/>
        <v>1566.22</v>
      </c>
      <c r="G149" s="151">
        <f t="shared" si="63"/>
        <v>1247.8499999999999</v>
      </c>
      <c r="H149" s="151">
        <f t="shared" si="63"/>
        <v>1396.82</v>
      </c>
      <c r="I149" s="151">
        <f t="shared" si="63"/>
        <v>1397.02</v>
      </c>
      <c r="J149" s="151">
        <f t="shared" si="63"/>
        <v>1235.42</v>
      </c>
      <c r="K149" s="146">
        <f t="shared" si="63"/>
        <v>1235.42</v>
      </c>
      <c r="L149" s="146">
        <v>1235.42</v>
      </c>
      <c r="M149" s="146">
        <f t="shared" si="63"/>
        <v>1235.42</v>
      </c>
      <c r="N149" s="146">
        <v>1235.42</v>
      </c>
      <c r="O149" s="146">
        <v>1233.03</v>
      </c>
      <c r="P149" s="125">
        <f t="shared" si="63"/>
        <v>1441.6666666666667</v>
      </c>
      <c r="Q149" s="146">
        <f t="shared" si="63"/>
        <v>0</v>
      </c>
      <c r="R149" s="125"/>
      <c r="S149" s="136">
        <f>SUM(E149:R149)</f>
        <v>16009.136666666667</v>
      </c>
      <c r="T149" s="125"/>
      <c r="U149" s="51"/>
      <c r="V149" s="51"/>
      <c r="X149" s="51"/>
      <c r="Y149" s="51"/>
    </row>
    <row r="150" spans="1:25" s="94" customFormat="1" ht="12" customHeight="1" x14ac:dyDescent="0.2">
      <c r="B150" s="94" t="s">
        <v>70</v>
      </c>
      <c r="D150" s="179" t="s">
        <v>183</v>
      </c>
      <c r="E150" s="113">
        <v>40827.35</v>
      </c>
      <c r="F150" s="113">
        <v>385135.28</v>
      </c>
      <c r="G150" s="151">
        <v>464155.22</v>
      </c>
      <c r="H150" s="151">
        <v>-72172.789999999994</v>
      </c>
      <c r="I150" s="151">
        <v>-41399.19</v>
      </c>
      <c r="J150" s="151">
        <v>70725.350000000006</v>
      </c>
      <c r="K150" s="146">
        <v>-123335.4</v>
      </c>
      <c r="L150" s="146">
        <v>-21167.79</v>
      </c>
      <c r="M150" s="146">
        <v>129222.87</v>
      </c>
      <c r="N150" s="146">
        <v>-104619.57</v>
      </c>
      <c r="O150" s="146">
        <v>-11251.79</v>
      </c>
      <c r="P150" s="125">
        <v>126032</v>
      </c>
      <c r="Q150" s="146">
        <f>-Q52</f>
        <v>-860477.90964359511</v>
      </c>
      <c r="R150" s="125"/>
      <c r="S150" s="136">
        <f t="shared" ref="S150:S165" si="64">SUM(E150:R150)</f>
        <v>-18326.369643595302</v>
      </c>
      <c r="T150" s="125"/>
      <c r="U150" s="158"/>
      <c r="V150" s="158"/>
      <c r="X150" s="158"/>
      <c r="Y150" s="158"/>
    </row>
    <row r="151" spans="1:25" s="94" customFormat="1" ht="12" customHeight="1" x14ac:dyDescent="0.2">
      <c r="B151" s="94" t="s">
        <v>70</v>
      </c>
      <c r="D151" s="179" t="s">
        <v>184</v>
      </c>
      <c r="E151" s="151">
        <v>0</v>
      </c>
      <c r="F151" s="151">
        <v>0</v>
      </c>
      <c r="G151" s="151">
        <v>0</v>
      </c>
      <c r="H151" s="151">
        <v>0</v>
      </c>
      <c r="I151" s="151">
        <v>-22945.82</v>
      </c>
      <c r="J151" s="151">
        <v>0</v>
      </c>
      <c r="K151" s="146">
        <v>-22945.82</v>
      </c>
      <c r="L151" s="146">
        <v>0</v>
      </c>
      <c r="M151" s="146">
        <v>0</v>
      </c>
      <c r="N151" s="146">
        <v>0</v>
      </c>
      <c r="O151" s="146">
        <v>0</v>
      </c>
      <c r="P151" s="125">
        <v>0</v>
      </c>
      <c r="Q151" s="146">
        <v>0</v>
      </c>
      <c r="R151" s="125"/>
      <c r="S151" s="136">
        <f t="shared" si="64"/>
        <v>-45891.64</v>
      </c>
      <c r="T151" s="125"/>
      <c r="U151" s="158"/>
      <c r="V151" s="158"/>
      <c r="X151" s="158"/>
      <c r="Y151" s="158"/>
    </row>
    <row r="152" spans="1:25" s="94" customFormat="1" ht="12" hidden="1" customHeight="1" x14ac:dyDescent="0.2">
      <c r="B152" s="94" t="s">
        <v>70</v>
      </c>
      <c r="D152" s="179" t="s">
        <v>185</v>
      </c>
      <c r="E152" s="151">
        <v>0</v>
      </c>
      <c r="F152" s="151">
        <v>0</v>
      </c>
      <c r="G152" s="151">
        <v>0</v>
      </c>
      <c r="H152" s="151">
        <v>0</v>
      </c>
      <c r="I152" s="151">
        <v>0</v>
      </c>
      <c r="J152" s="151">
        <v>0</v>
      </c>
      <c r="K152" s="146">
        <v>0</v>
      </c>
      <c r="L152" s="146">
        <v>0</v>
      </c>
      <c r="M152" s="146">
        <v>0</v>
      </c>
      <c r="N152" s="146">
        <v>0</v>
      </c>
      <c r="O152" s="146">
        <v>0</v>
      </c>
      <c r="P152" s="125">
        <v>0</v>
      </c>
      <c r="Q152" s="146">
        <v>0</v>
      </c>
      <c r="R152" s="125"/>
      <c r="S152" s="136">
        <f t="shared" si="64"/>
        <v>0</v>
      </c>
      <c r="T152" s="125"/>
      <c r="U152" s="158"/>
      <c r="V152" s="158"/>
      <c r="X152" s="158"/>
      <c r="Y152" s="158"/>
    </row>
    <row r="153" spans="1:25" s="94" customFormat="1" ht="12" customHeight="1" x14ac:dyDescent="0.2">
      <c r="B153" s="94" t="s">
        <v>70</v>
      </c>
      <c r="D153" s="179" t="s">
        <v>186</v>
      </c>
      <c r="E153" s="151">
        <v>6709.9</v>
      </c>
      <c r="F153" s="151">
        <v>1635.75</v>
      </c>
      <c r="G153" s="151">
        <v>-11645.41</v>
      </c>
      <c r="H153" s="151">
        <v>-16576.939999999999</v>
      </c>
      <c r="I153" s="151">
        <v>11527.21</v>
      </c>
      <c r="J153" s="151">
        <v>3469.93</v>
      </c>
      <c r="K153" s="146">
        <v>-1275.67</v>
      </c>
      <c r="L153" s="146">
        <v>2121.8200000000002</v>
      </c>
      <c r="M153" s="146">
        <v>10324.219999999999</v>
      </c>
      <c r="N153" s="146">
        <v>18112.740000000002</v>
      </c>
      <c r="O153" s="146">
        <v>-2862.4</v>
      </c>
      <c r="P153" s="125">
        <v>0</v>
      </c>
      <c r="Q153" s="146">
        <v>0</v>
      </c>
      <c r="R153" s="125"/>
      <c r="S153" s="136">
        <f t="shared" si="64"/>
        <v>21541.15</v>
      </c>
      <c r="T153" s="125"/>
      <c r="U153" s="158"/>
      <c r="V153" s="158"/>
      <c r="X153" s="158"/>
      <c r="Y153" s="158"/>
    </row>
    <row r="154" spans="1:25" s="94" customFormat="1" ht="12" hidden="1" customHeight="1" x14ac:dyDescent="0.2">
      <c r="B154" s="94" t="s">
        <v>70</v>
      </c>
      <c r="D154" s="179" t="s">
        <v>187</v>
      </c>
      <c r="E154" s="151">
        <v>0</v>
      </c>
      <c r="F154" s="151">
        <v>0</v>
      </c>
      <c r="G154" s="151">
        <v>0</v>
      </c>
      <c r="H154" s="151">
        <v>0</v>
      </c>
      <c r="I154" s="151">
        <v>0</v>
      </c>
      <c r="J154" s="151">
        <v>0</v>
      </c>
      <c r="K154" s="146">
        <v>0</v>
      </c>
      <c r="L154" s="146">
        <v>0</v>
      </c>
      <c r="M154" s="146">
        <v>0</v>
      </c>
      <c r="N154" s="146">
        <v>0</v>
      </c>
      <c r="O154" s="146">
        <v>0</v>
      </c>
      <c r="P154" s="125">
        <v>0</v>
      </c>
      <c r="Q154" s="146">
        <v>0</v>
      </c>
      <c r="R154" s="125"/>
      <c r="S154" s="136">
        <f t="shared" si="64"/>
        <v>0</v>
      </c>
      <c r="T154" s="125"/>
      <c r="U154" s="158"/>
      <c r="V154" s="158"/>
      <c r="X154" s="158"/>
      <c r="Y154" s="158"/>
    </row>
    <row r="155" spans="1:25" s="94" customFormat="1" ht="12" customHeight="1" x14ac:dyDescent="0.2">
      <c r="B155" s="94" t="s">
        <v>70</v>
      </c>
      <c r="D155" s="179" t="s">
        <v>188</v>
      </c>
      <c r="E155" s="151">
        <v>-43207.73</v>
      </c>
      <c r="F155" s="151">
        <v>11990.2</v>
      </c>
      <c r="G155" s="151">
        <v>-7375.98</v>
      </c>
      <c r="H155" s="151">
        <v>0</v>
      </c>
      <c r="I155" s="151">
        <v>0</v>
      </c>
      <c r="J155" s="151">
        <v>0</v>
      </c>
      <c r="K155" s="146">
        <v>-8820</v>
      </c>
      <c r="L155" s="146">
        <v>-680</v>
      </c>
      <c r="M155" s="146">
        <v>4960</v>
      </c>
      <c r="N155" s="146">
        <v>12707.25</v>
      </c>
      <c r="O155" s="146">
        <v>-13337.25</v>
      </c>
      <c r="P155" s="125">
        <v>0</v>
      </c>
      <c r="Q155" s="146">
        <f>Q142</f>
        <v>340789.01760382741</v>
      </c>
      <c r="R155" s="125"/>
      <c r="S155" s="136">
        <f t="shared" si="64"/>
        <v>297025.5076038274</v>
      </c>
      <c r="T155" s="125"/>
      <c r="U155" s="158"/>
      <c r="V155" s="158"/>
      <c r="X155" s="158"/>
      <c r="Y155" s="158"/>
    </row>
    <row r="156" spans="1:25" s="94" customFormat="1" ht="12" customHeight="1" x14ac:dyDescent="0.2">
      <c r="B156" s="94" t="s">
        <v>70</v>
      </c>
      <c r="D156" s="179" t="s">
        <v>189</v>
      </c>
      <c r="E156" s="151">
        <v>-47597.53</v>
      </c>
      <c r="F156" s="151">
        <v>31951.42</v>
      </c>
      <c r="G156" s="151">
        <v>8035.87</v>
      </c>
      <c r="H156" s="151">
        <v>6281.24</v>
      </c>
      <c r="I156" s="151">
        <v>33509.160000000003</v>
      </c>
      <c r="J156" s="151">
        <v>-74199.06</v>
      </c>
      <c r="K156" s="146">
        <v>44229.88</v>
      </c>
      <c r="L156" s="146">
        <v>-19585.349999999999</v>
      </c>
      <c r="M156" s="146">
        <v>31430.07</v>
      </c>
      <c r="N156" s="146">
        <v>-42397.14</v>
      </c>
      <c r="O156" s="146">
        <v>255120.05</v>
      </c>
      <c r="P156" s="125">
        <v>-249795</v>
      </c>
      <c r="Q156" s="146">
        <f>Q143</f>
        <v>0</v>
      </c>
      <c r="R156" s="125"/>
      <c r="S156" s="136">
        <f t="shared" si="64"/>
        <v>-23016.390000000014</v>
      </c>
      <c r="T156" s="125"/>
      <c r="U156" s="158"/>
      <c r="V156" s="158"/>
      <c r="X156" s="158"/>
      <c r="Y156" s="158"/>
    </row>
    <row r="157" spans="1:25" s="94" customFormat="1" ht="12" customHeight="1" x14ac:dyDescent="0.2">
      <c r="D157" s="179" t="s">
        <v>190</v>
      </c>
      <c r="E157" s="151"/>
      <c r="F157" s="151">
        <v>54481</v>
      </c>
      <c r="G157" s="151">
        <v>-32015</v>
      </c>
      <c r="H157" s="151"/>
      <c r="I157" s="151">
        <v>121572</v>
      </c>
      <c r="J157" s="151">
        <v>65620</v>
      </c>
      <c r="K157" s="146">
        <v>31810</v>
      </c>
      <c r="L157" s="146"/>
      <c r="M157" s="146">
        <v>19894</v>
      </c>
      <c r="N157" s="146">
        <v>-9222</v>
      </c>
      <c r="O157" s="146">
        <v>19894</v>
      </c>
      <c r="P157" s="125"/>
      <c r="Q157" s="146"/>
      <c r="R157" s="125"/>
      <c r="S157" s="136">
        <f t="shared" si="64"/>
        <v>272034</v>
      </c>
      <c r="T157" s="125"/>
      <c r="U157" s="158"/>
      <c r="V157" s="158"/>
      <c r="X157" s="158"/>
      <c r="Y157" s="158"/>
    </row>
    <row r="158" spans="1:25" s="94" customFormat="1" ht="12" customHeight="1" x14ac:dyDescent="0.2">
      <c r="B158" s="94" t="s">
        <v>70</v>
      </c>
      <c r="D158" s="179" t="s">
        <v>191</v>
      </c>
      <c r="E158" s="151">
        <v>204.4</v>
      </c>
      <c r="F158" s="151">
        <v>-545.6</v>
      </c>
      <c r="G158" s="151">
        <v>-545.6</v>
      </c>
      <c r="H158" s="151">
        <v>-545.6</v>
      </c>
      <c r="I158" s="151">
        <v>-545.6</v>
      </c>
      <c r="J158" s="151">
        <v>-545.6</v>
      </c>
      <c r="K158" s="146">
        <v>-545.6</v>
      </c>
      <c r="L158" s="146">
        <v>-545.6</v>
      </c>
      <c r="M158" s="146">
        <v>-545.6</v>
      </c>
      <c r="N158" s="146">
        <v>-545.6</v>
      </c>
      <c r="O158" s="146">
        <v>-545.6</v>
      </c>
      <c r="P158" s="125">
        <v>0</v>
      </c>
      <c r="Q158" s="146">
        <v>0</v>
      </c>
      <c r="R158" s="125"/>
      <c r="S158" s="136">
        <f t="shared" si="64"/>
        <v>-5251.6</v>
      </c>
      <c r="T158" s="125"/>
      <c r="U158" s="158"/>
      <c r="V158" s="158"/>
      <c r="X158" s="158"/>
      <c r="Y158" s="158"/>
    </row>
    <row r="159" spans="1:25" s="94" customFormat="1" ht="10.9" customHeight="1" x14ac:dyDescent="0.2">
      <c r="B159" s="94" t="s">
        <v>70</v>
      </c>
      <c r="C159" s="94" t="s">
        <v>192</v>
      </c>
      <c r="D159" s="179"/>
      <c r="E159" s="151"/>
      <c r="F159" s="151"/>
      <c r="G159" s="151"/>
      <c r="H159" s="151"/>
      <c r="I159" s="151"/>
      <c r="J159" s="151"/>
      <c r="K159" s="146"/>
      <c r="L159" s="146"/>
      <c r="M159" s="146"/>
      <c r="N159" s="146"/>
      <c r="O159" s="146"/>
      <c r="P159" s="125"/>
      <c r="Q159" s="146"/>
      <c r="R159" s="125"/>
      <c r="S159" s="136"/>
      <c r="T159" s="125"/>
      <c r="U159" s="158"/>
      <c r="V159" s="158"/>
      <c r="X159" s="158"/>
      <c r="Y159" s="158"/>
    </row>
    <row r="160" spans="1:25" s="94" customFormat="1" ht="10.9" customHeight="1" x14ac:dyDescent="0.2">
      <c r="B160" s="94" t="s">
        <v>70</v>
      </c>
      <c r="D160" s="179" t="s">
        <v>193</v>
      </c>
      <c r="E160" s="151">
        <v>0</v>
      </c>
      <c r="F160" s="151">
        <v>-1001.43</v>
      </c>
      <c r="G160" s="151">
        <v>0</v>
      </c>
      <c r="H160" s="151">
        <v>0</v>
      </c>
      <c r="I160" s="151">
        <v>0</v>
      </c>
      <c r="J160" s="151">
        <v>0</v>
      </c>
      <c r="K160" s="146">
        <v>0</v>
      </c>
      <c r="L160" s="146">
        <v>0</v>
      </c>
      <c r="M160" s="146">
        <v>0</v>
      </c>
      <c r="N160" s="146">
        <v>0</v>
      </c>
      <c r="O160" s="146">
        <v>0</v>
      </c>
      <c r="P160" s="125">
        <v>0</v>
      </c>
      <c r="Q160" s="146">
        <v>0</v>
      </c>
      <c r="R160" s="125"/>
      <c r="S160" s="136">
        <f t="shared" si="64"/>
        <v>-1001.43</v>
      </c>
      <c r="T160" s="125"/>
      <c r="U160" s="158"/>
      <c r="V160" s="158"/>
      <c r="X160" s="158"/>
      <c r="Y160" s="158"/>
    </row>
    <row r="161" spans="1:25" s="94" customFormat="1" ht="12" hidden="1" customHeight="1" x14ac:dyDescent="0.2">
      <c r="D161" s="94" t="s">
        <v>194</v>
      </c>
      <c r="E161" s="151">
        <v>0</v>
      </c>
      <c r="F161" s="151">
        <v>0</v>
      </c>
      <c r="G161" s="151">
        <v>0</v>
      </c>
      <c r="H161" s="151">
        <v>0</v>
      </c>
      <c r="I161" s="151">
        <v>0</v>
      </c>
      <c r="J161" s="151">
        <v>0</v>
      </c>
      <c r="K161" s="146">
        <v>0</v>
      </c>
      <c r="L161" s="146">
        <v>0</v>
      </c>
      <c r="M161" s="146">
        <v>0</v>
      </c>
      <c r="N161" s="146">
        <v>0</v>
      </c>
      <c r="O161" s="146">
        <v>0</v>
      </c>
      <c r="P161" s="125">
        <v>0</v>
      </c>
      <c r="Q161" s="146">
        <v>0</v>
      </c>
      <c r="R161" s="125"/>
      <c r="S161" s="136">
        <f t="shared" si="64"/>
        <v>0</v>
      </c>
      <c r="T161" s="125"/>
      <c r="U161" s="158"/>
      <c r="V161" s="158"/>
      <c r="X161" s="158"/>
      <c r="Y161" s="158"/>
    </row>
    <row r="162" spans="1:25" s="94" customFormat="1" ht="12" customHeight="1" x14ac:dyDescent="0.2">
      <c r="C162" s="94" t="s">
        <v>195</v>
      </c>
      <c r="E162" s="151"/>
      <c r="F162" s="151"/>
      <c r="G162" s="151"/>
      <c r="H162" s="151"/>
      <c r="I162" s="151"/>
      <c r="J162" s="151"/>
      <c r="K162" s="146"/>
      <c r="L162" s="146"/>
      <c r="M162" s="146"/>
      <c r="N162" s="146"/>
      <c r="O162" s="146"/>
      <c r="P162" s="125"/>
      <c r="Q162" s="146"/>
      <c r="R162" s="125"/>
      <c r="S162" s="136"/>
      <c r="T162" s="125"/>
      <c r="U162" s="158"/>
      <c r="V162" s="158"/>
      <c r="X162" s="158"/>
      <c r="Y162" s="158"/>
    </row>
    <row r="163" spans="1:25" s="94" customFormat="1" ht="12" hidden="1" customHeight="1" x14ac:dyDescent="0.2">
      <c r="D163" s="94" t="s">
        <v>196</v>
      </c>
      <c r="E163" s="151">
        <v>0</v>
      </c>
      <c r="F163" s="151">
        <v>0</v>
      </c>
      <c r="G163" s="151">
        <v>0</v>
      </c>
      <c r="H163" s="151">
        <v>0</v>
      </c>
      <c r="I163" s="151">
        <v>0</v>
      </c>
      <c r="J163" s="151">
        <v>0</v>
      </c>
      <c r="K163" s="146">
        <v>0</v>
      </c>
      <c r="L163" s="146">
        <v>0</v>
      </c>
      <c r="M163" s="146">
        <v>0</v>
      </c>
      <c r="N163" s="146">
        <v>0</v>
      </c>
      <c r="O163" s="146">
        <v>0</v>
      </c>
      <c r="P163" s="125">
        <v>0</v>
      </c>
      <c r="Q163" s="146">
        <v>0</v>
      </c>
      <c r="R163" s="125"/>
      <c r="S163" s="136">
        <f t="shared" si="64"/>
        <v>0</v>
      </c>
      <c r="T163" s="125"/>
      <c r="U163" s="158"/>
      <c r="V163" s="158"/>
      <c r="X163" s="158"/>
      <c r="Y163" s="158"/>
    </row>
    <row r="164" spans="1:25" s="94" customFormat="1" ht="12" customHeight="1" x14ac:dyDescent="0.2">
      <c r="D164" s="94" t="s">
        <v>197</v>
      </c>
      <c r="E164" s="180">
        <v>0</v>
      </c>
      <c r="F164" s="180">
        <v>0</v>
      </c>
      <c r="G164" s="180">
        <v>0</v>
      </c>
      <c r="H164" s="180">
        <v>0</v>
      </c>
      <c r="I164" s="180">
        <v>0</v>
      </c>
      <c r="J164" s="180">
        <v>-96600</v>
      </c>
      <c r="K164" s="181">
        <f>-H163-I163</f>
        <v>0</v>
      </c>
      <c r="L164" s="181">
        <v>0</v>
      </c>
      <c r="M164" s="181">
        <f>-J163/2</f>
        <v>0</v>
      </c>
      <c r="N164" s="181">
        <f>M164</f>
        <v>0</v>
      </c>
      <c r="O164" s="181">
        <f>-L163</f>
        <v>0</v>
      </c>
      <c r="P164" s="182">
        <f>-M163</f>
        <v>0</v>
      </c>
      <c r="Q164" s="146">
        <v>0</v>
      </c>
      <c r="R164" s="125"/>
      <c r="S164" s="136">
        <f t="shared" si="64"/>
        <v>-96600</v>
      </c>
      <c r="T164" s="125"/>
      <c r="U164" s="158"/>
      <c r="V164" s="158"/>
      <c r="X164" s="158"/>
      <c r="Y164" s="158"/>
    </row>
    <row r="165" spans="1:25" s="94" customFormat="1" ht="12" hidden="1" customHeight="1" x14ac:dyDescent="0.2">
      <c r="D165" s="94" t="s">
        <v>198</v>
      </c>
      <c r="E165" s="180">
        <v>0</v>
      </c>
      <c r="F165" s="180">
        <v>0</v>
      </c>
      <c r="G165" s="180">
        <v>0</v>
      </c>
      <c r="H165" s="182">
        <v>0</v>
      </c>
      <c r="I165" s="180">
        <v>0</v>
      </c>
      <c r="J165" s="180">
        <v>0</v>
      </c>
      <c r="K165" s="181">
        <v>0</v>
      </c>
      <c r="L165" s="181">
        <v>0</v>
      </c>
      <c r="M165" s="181">
        <v>0</v>
      </c>
      <c r="N165" s="181">
        <v>0</v>
      </c>
      <c r="O165" s="181">
        <v>0</v>
      </c>
      <c r="P165" s="182">
        <v>0</v>
      </c>
      <c r="Q165" s="146">
        <v>0</v>
      </c>
      <c r="R165" s="125"/>
      <c r="S165" s="136">
        <f t="shared" si="64"/>
        <v>0</v>
      </c>
      <c r="T165" s="125"/>
      <c r="U165" s="158"/>
      <c r="V165" s="158"/>
      <c r="X165" s="158"/>
      <c r="Y165" s="158"/>
    </row>
    <row r="166" spans="1:25" s="94" customFormat="1" ht="12" customHeight="1" x14ac:dyDescent="0.2">
      <c r="E166" s="151"/>
      <c r="F166" s="151"/>
      <c r="G166" s="151"/>
      <c r="H166" s="151"/>
      <c r="I166" s="151"/>
      <c r="J166" s="151"/>
      <c r="K166" s="146"/>
      <c r="L166" s="146"/>
      <c r="M166" s="146"/>
      <c r="N166" s="146"/>
      <c r="O166" s="146"/>
      <c r="P166" s="125"/>
      <c r="Q166" s="125"/>
      <c r="R166" s="125"/>
      <c r="S166" s="183"/>
      <c r="T166" s="125"/>
      <c r="U166" s="158"/>
      <c r="V166" s="158"/>
      <c r="X166" s="158"/>
      <c r="Y166" s="158"/>
    </row>
    <row r="167" spans="1:25" s="94" customFormat="1" ht="12" customHeight="1" x14ac:dyDescent="0.2">
      <c r="B167" s="94" t="s">
        <v>199</v>
      </c>
      <c r="E167" s="151">
        <f>SUBTOTAL(9,E147:E166)</f>
        <v>-108340.93000000001</v>
      </c>
      <c r="F167" s="151">
        <f>SUBTOTAL(9,F147:F166)</f>
        <v>446657.64999999997</v>
      </c>
      <c r="G167" s="151">
        <f t="shared" ref="G167:P167" si="65">SUBTOTAL(9,G147:G166)</f>
        <v>338315.7</v>
      </c>
      <c r="H167" s="151">
        <f t="shared" si="65"/>
        <v>-63444.91</v>
      </c>
      <c r="I167" s="151">
        <f t="shared" si="65"/>
        <v>120001.82999999993</v>
      </c>
      <c r="J167" s="151">
        <f t="shared" si="65"/>
        <v>24582.64999999998</v>
      </c>
      <c r="K167" s="146">
        <f t="shared" si="65"/>
        <v>211426.31999999998</v>
      </c>
      <c r="L167" s="146">
        <f t="shared" si="65"/>
        <v>26773.229999999981</v>
      </c>
      <c r="M167" s="146">
        <f t="shared" si="65"/>
        <v>-48839.960000000043</v>
      </c>
      <c r="N167" s="146">
        <f t="shared" si="65"/>
        <v>28513.619999999974</v>
      </c>
      <c r="O167" s="146">
        <f t="shared" si="65"/>
        <v>-62206.510000000031</v>
      </c>
      <c r="P167" s="125">
        <f t="shared" si="65"/>
        <v>-304971.04572536156</v>
      </c>
      <c r="Q167" s="125"/>
      <c r="R167" s="125"/>
      <c r="S167" s="125"/>
      <c r="T167" s="125"/>
      <c r="U167" s="125"/>
      <c r="V167" s="125"/>
      <c r="X167" s="125"/>
      <c r="Y167" s="125"/>
    </row>
    <row r="168" spans="1:25" s="94" customFormat="1" ht="12" customHeight="1" x14ac:dyDescent="0.2">
      <c r="E168" s="151"/>
      <c r="F168" s="151"/>
      <c r="G168" s="151"/>
      <c r="H168" s="151"/>
      <c r="I168" s="151"/>
      <c r="J168" s="151"/>
      <c r="K168" s="146"/>
      <c r="L168" s="146"/>
      <c r="M168" s="146"/>
      <c r="N168" s="146"/>
      <c r="O168" s="146"/>
      <c r="P168" s="125"/>
      <c r="Q168" s="125"/>
      <c r="R168" s="125"/>
      <c r="S168" s="125"/>
      <c r="T168" s="125"/>
      <c r="U168" s="125"/>
      <c r="V168" s="125"/>
      <c r="X168" s="125"/>
      <c r="Y168" s="125"/>
    </row>
    <row r="169" spans="1:25" s="94" customFormat="1" ht="12" customHeight="1" x14ac:dyDescent="0.2">
      <c r="B169" s="94" t="s">
        <v>200</v>
      </c>
      <c r="E169" s="180">
        <v>910695.82</v>
      </c>
      <c r="F169" s="180">
        <f t="shared" ref="F169:O169" si="66">E171</f>
        <v>802354.8899999999</v>
      </c>
      <c r="G169" s="180">
        <f t="shared" si="66"/>
        <v>1249012.5399999998</v>
      </c>
      <c r="H169" s="180">
        <f t="shared" si="66"/>
        <v>1587328.2399999998</v>
      </c>
      <c r="I169" s="180">
        <f t="shared" si="66"/>
        <v>1523883.3299999998</v>
      </c>
      <c r="J169" s="180">
        <f t="shared" si="66"/>
        <v>1643885.1599999997</v>
      </c>
      <c r="K169" s="181">
        <f t="shared" si="66"/>
        <v>1668467.8099999996</v>
      </c>
      <c r="L169" s="181">
        <f t="shared" si="66"/>
        <v>1879894.1299999997</v>
      </c>
      <c r="M169" s="181">
        <f t="shared" si="66"/>
        <v>1906667.3599999996</v>
      </c>
      <c r="N169" s="181">
        <f t="shared" si="66"/>
        <v>1857827.3999999997</v>
      </c>
      <c r="O169" s="181">
        <f t="shared" si="66"/>
        <v>1886341.0199999996</v>
      </c>
      <c r="P169" s="182">
        <f>O171</f>
        <v>1824134.5099999995</v>
      </c>
      <c r="Q169" s="125"/>
      <c r="R169" s="125"/>
      <c r="S169" s="125"/>
      <c r="T169" s="125"/>
      <c r="U169" s="125"/>
      <c r="V169" s="125"/>
      <c r="X169" s="125"/>
      <c r="Y169" s="125"/>
    </row>
    <row r="170" spans="1:25" s="94" customFormat="1" ht="12" customHeight="1" x14ac:dyDescent="0.2">
      <c r="E170" s="151"/>
      <c r="F170" s="151"/>
      <c r="G170" s="151"/>
      <c r="H170" s="151"/>
      <c r="I170" s="151"/>
      <c r="J170" s="151"/>
      <c r="K170" s="146"/>
      <c r="L170" s="146"/>
      <c r="M170" s="146"/>
      <c r="N170" s="146"/>
      <c r="O170" s="146"/>
      <c r="P170" s="125"/>
      <c r="Q170" s="125"/>
      <c r="R170" s="125"/>
      <c r="S170" s="125"/>
      <c r="T170" s="125"/>
      <c r="U170" s="125"/>
      <c r="V170" s="125"/>
      <c r="X170" s="125"/>
      <c r="Y170" s="125"/>
    </row>
    <row r="171" spans="1:25" s="119" customFormat="1" ht="12" customHeight="1" thickBot="1" x14ac:dyDescent="0.25">
      <c r="B171" s="119" t="s">
        <v>201</v>
      </c>
      <c r="E171" s="173">
        <f t="shared" ref="E171:O171" si="67">E167+E169</f>
        <v>802354.8899999999</v>
      </c>
      <c r="F171" s="173">
        <f>F167+F169</f>
        <v>1249012.5399999998</v>
      </c>
      <c r="G171" s="173">
        <f t="shared" si="67"/>
        <v>1587328.2399999998</v>
      </c>
      <c r="H171" s="173">
        <f t="shared" si="67"/>
        <v>1523883.3299999998</v>
      </c>
      <c r="I171" s="173">
        <f t="shared" si="67"/>
        <v>1643885.1599999997</v>
      </c>
      <c r="J171" s="173">
        <f t="shared" si="67"/>
        <v>1668467.8099999996</v>
      </c>
      <c r="K171" s="174">
        <f t="shared" si="67"/>
        <v>1879894.1299999997</v>
      </c>
      <c r="L171" s="174">
        <f t="shared" si="67"/>
        <v>1906667.3599999996</v>
      </c>
      <c r="M171" s="174">
        <f t="shared" si="67"/>
        <v>1857827.3999999997</v>
      </c>
      <c r="N171" s="174">
        <f t="shared" si="67"/>
        <v>1886341.0199999996</v>
      </c>
      <c r="O171" s="174">
        <f t="shared" si="67"/>
        <v>1824134.5099999995</v>
      </c>
      <c r="P171" s="175">
        <f>P167+P169</f>
        <v>1519163.4642746379</v>
      </c>
      <c r="Q171" s="158"/>
      <c r="R171" s="158"/>
      <c r="S171" s="158"/>
      <c r="T171" s="158"/>
      <c r="U171" s="158"/>
      <c r="V171" s="158"/>
      <c r="X171" s="158"/>
      <c r="Y171" s="158"/>
    </row>
    <row r="172" spans="1:25" s="185" customFormat="1" ht="12" customHeight="1" thickTop="1" x14ac:dyDescent="0.2">
      <c r="A172" s="184"/>
      <c r="B172" s="184"/>
      <c r="D172" s="186">
        <v>0.15</v>
      </c>
      <c r="E172" s="187">
        <f t="shared" ref="E172:P172" si="68">$S$142*$D$172</f>
        <v>680864.79906445753</v>
      </c>
      <c r="F172" s="187">
        <f t="shared" si="68"/>
        <v>680864.79906445753</v>
      </c>
      <c r="G172" s="187">
        <f t="shared" si="68"/>
        <v>680864.79906445753</v>
      </c>
      <c r="H172" s="187">
        <f t="shared" si="68"/>
        <v>680864.79906445753</v>
      </c>
      <c r="I172" s="187">
        <f t="shared" si="68"/>
        <v>680864.79906445753</v>
      </c>
      <c r="J172" s="187">
        <f t="shared" si="68"/>
        <v>680864.79906445753</v>
      </c>
      <c r="K172" s="187">
        <f t="shared" si="68"/>
        <v>680864.79906445753</v>
      </c>
      <c r="L172" s="187">
        <f t="shared" si="68"/>
        <v>680864.79906445753</v>
      </c>
      <c r="M172" s="187">
        <f t="shared" si="68"/>
        <v>680864.79906445753</v>
      </c>
      <c r="N172" s="187">
        <f t="shared" si="68"/>
        <v>680864.79906445753</v>
      </c>
      <c r="O172" s="187">
        <f t="shared" si="68"/>
        <v>680864.79906445753</v>
      </c>
      <c r="P172" s="187">
        <f t="shared" si="68"/>
        <v>680864.79906445753</v>
      </c>
      <c r="Q172" s="187"/>
      <c r="R172" s="187"/>
      <c r="S172" s="188"/>
      <c r="T172" s="187"/>
      <c r="U172" s="187"/>
      <c r="V172" s="187"/>
      <c r="X172" s="187"/>
      <c r="Y172" s="187"/>
    </row>
    <row r="173" spans="1:25" s="94" customFormat="1" ht="12" customHeight="1" x14ac:dyDescent="0.2">
      <c r="A173" s="119"/>
      <c r="B173" s="119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83"/>
      <c r="T173" s="125"/>
      <c r="U173" s="125"/>
      <c r="V173" s="125"/>
      <c r="X173" s="125"/>
      <c r="Y173" s="125"/>
    </row>
    <row r="174" spans="1:25" s="94" customFormat="1" ht="12" customHeight="1" x14ac:dyDescent="0.2">
      <c r="A174" s="119"/>
      <c r="B174" s="119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83"/>
      <c r="T174" s="125"/>
      <c r="U174" s="125"/>
      <c r="V174" s="125"/>
      <c r="X174" s="125"/>
      <c r="Y174" s="125"/>
    </row>
    <row r="175" spans="1:25" s="94" customFormat="1" ht="12" customHeight="1" x14ac:dyDescent="0.2">
      <c r="A175" s="119"/>
      <c r="B175" s="119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83"/>
      <c r="T175" s="125"/>
      <c r="U175" s="125"/>
      <c r="V175" s="125"/>
      <c r="X175" s="125"/>
      <c r="Y175" s="125"/>
    </row>
    <row r="176" spans="1:25" s="94" customFormat="1" ht="12" customHeight="1" x14ac:dyDescent="0.2">
      <c r="E176" s="189"/>
      <c r="F176" s="189"/>
      <c r="G176" s="189"/>
      <c r="H176" s="189"/>
      <c r="I176" s="189"/>
      <c r="J176" s="189"/>
      <c r="K176" s="189"/>
      <c r="L176" s="189"/>
      <c r="M176" s="190"/>
      <c r="N176" s="190"/>
      <c r="O176" s="190"/>
      <c r="P176" s="190"/>
      <c r="Q176" s="190"/>
      <c r="R176" s="190"/>
      <c r="S176" s="191"/>
      <c r="T176" s="190"/>
      <c r="U176" s="125"/>
      <c r="V176" s="125"/>
      <c r="X176" s="125"/>
      <c r="Y176" s="125"/>
    </row>
    <row r="177" spans="1:25" s="94" customFormat="1" ht="12" customHeight="1" x14ac:dyDescent="0.2">
      <c r="E177" s="189"/>
      <c r="F177" s="189"/>
      <c r="G177" s="189"/>
      <c r="H177" s="189"/>
      <c r="I177" s="189"/>
      <c r="J177" s="189"/>
      <c r="K177" s="189"/>
      <c r="L177" s="189"/>
      <c r="M177" s="190"/>
      <c r="N177" s="190"/>
      <c r="O177" s="190"/>
      <c r="P177" s="190"/>
      <c r="Q177" s="190"/>
      <c r="R177" s="190"/>
      <c r="S177" s="191"/>
      <c r="T177" s="190"/>
      <c r="U177" s="125"/>
      <c r="V177" s="125"/>
      <c r="X177" s="125"/>
      <c r="Y177" s="125"/>
    </row>
    <row r="178" spans="1:25" s="94" customFormat="1" ht="12" customHeight="1" x14ac:dyDescent="0.2"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1"/>
      <c r="T178" s="190"/>
      <c r="U178" s="125"/>
      <c r="V178" s="125"/>
      <c r="X178" s="125"/>
      <c r="Y178" s="125"/>
    </row>
    <row r="179" spans="1:25" s="94" customFormat="1" ht="12" customHeight="1" x14ac:dyDescent="0.2">
      <c r="E179" s="189"/>
      <c r="F179" s="189"/>
      <c r="G179" s="189"/>
      <c r="H179" s="189"/>
      <c r="I179" s="189"/>
      <c r="J179" s="189"/>
      <c r="K179" s="189"/>
      <c r="L179" s="189"/>
      <c r="M179" s="190"/>
      <c r="N179" s="190"/>
      <c r="O179" s="190"/>
      <c r="P179" s="190"/>
      <c r="Q179" s="190"/>
      <c r="R179" s="190"/>
      <c r="S179" s="191"/>
      <c r="T179" s="190"/>
      <c r="U179" s="125"/>
      <c r="V179" s="125"/>
      <c r="X179" s="125"/>
      <c r="Y179" s="125"/>
    </row>
    <row r="180" spans="1:25" s="94" customFormat="1" ht="12" customHeight="1" x14ac:dyDescent="0.2">
      <c r="E180" s="189"/>
      <c r="F180" s="189"/>
      <c r="G180" s="189"/>
      <c r="H180" s="189"/>
      <c r="I180" s="189"/>
      <c r="J180" s="189"/>
      <c r="K180" s="189"/>
      <c r="L180" s="189"/>
      <c r="M180" s="190"/>
      <c r="N180" s="190"/>
      <c r="O180" s="190"/>
      <c r="P180" s="190"/>
      <c r="Q180" s="190"/>
      <c r="R180" s="190"/>
      <c r="S180" s="191"/>
      <c r="T180" s="190"/>
      <c r="U180" s="125"/>
      <c r="V180" s="125"/>
      <c r="X180" s="125"/>
      <c r="Y180" s="125"/>
    </row>
    <row r="181" spans="1:25" s="94" customFormat="1" ht="12" customHeight="1" x14ac:dyDescent="0.2"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1"/>
      <c r="T181" s="190"/>
      <c r="U181" s="125"/>
      <c r="V181" s="125"/>
      <c r="X181" s="125"/>
      <c r="Y181" s="125"/>
    </row>
    <row r="182" spans="1:25" s="94" customFormat="1" x14ac:dyDescent="0.2"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1"/>
      <c r="T182" s="190"/>
      <c r="U182" s="125"/>
      <c r="V182" s="125"/>
      <c r="X182" s="125"/>
      <c r="Y182" s="125"/>
    </row>
    <row r="183" spans="1:25" s="94" customFormat="1" x14ac:dyDescent="0.2"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92"/>
      <c r="T183" s="125"/>
      <c r="U183" s="125"/>
      <c r="V183" s="125"/>
      <c r="X183" s="125"/>
      <c r="Y183" s="125"/>
    </row>
    <row r="184" spans="1:25" x14ac:dyDescent="0.15">
      <c r="A184" s="40"/>
      <c r="B184" s="40"/>
      <c r="S184" s="193"/>
      <c r="U184" s="125"/>
      <c r="V184" s="125"/>
      <c r="X184" s="125"/>
      <c r="Y184" s="125"/>
    </row>
    <row r="185" spans="1:25" x14ac:dyDescent="0.15">
      <c r="A185" s="40"/>
      <c r="B185" s="40"/>
      <c r="S185" s="193"/>
      <c r="U185" s="125"/>
      <c r="V185" s="125"/>
      <c r="X185" s="125"/>
      <c r="Y185" s="125"/>
    </row>
    <row r="186" spans="1:25" x14ac:dyDescent="0.15">
      <c r="A186" s="40"/>
      <c r="B186" s="40"/>
      <c r="S186" s="193"/>
      <c r="U186" s="125"/>
      <c r="V186" s="125"/>
      <c r="X186" s="125"/>
      <c r="Y186" s="125"/>
    </row>
    <row r="187" spans="1:25" x14ac:dyDescent="0.15">
      <c r="A187" s="40"/>
      <c r="B187" s="40"/>
      <c r="S187" s="193"/>
    </row>
    <row r="188" spans="1:25" x14ac:dyDescent="0.15">
      <c r="A188" s="40"/>
      <c r="B188" s="40"/>
      <c r="S188" s="193"/>
    </row>
    <row r="189" spans="1:25" x14ac:dyDescent="0.15">
      <c r="A189" s="40"/>
      <c r="B189" s="40"/>
      <c r="S189" s="193"/>
    </row>
  </sheetData>
  <printOptions horizontalCentered="1"/>
  <pageMargins left="0.15" right="0.15" top="0.35" bottom="0.35" header="0.3" footer="0.3"/>
  <pageSetup paperSize="5" scale="85" fitToHeight="3" orientation="landscape" copies="4" r:id="rId1"/>
  <headerFooter alignWithMargins="0">
    <oddFooter xml:space="preserve">&amp;R
</oddFooter>
  </headerFooter>
  <rowBreaks count="2" manualBreakCount="2">
    <brk id="90" max="21" man="1"/>
    <brk id="144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FY22-23 Expenditures</vt:lpstr>
      <vt:lpstr>FY22-23 Budget</vt:lpstr>
      <vt:lpstr>FY21-22 Annual Update</vt:lpstr>
      <vt:lpstr>FY21-22 Forecast</vt:lpstr>
      <vt:lpstr>FY21-22 Forecast!Print_Area</vt:lpstr>
      <vt:lpstr>FY22-23 Budget!Print_Area</vt:lpstr>
      <vt:lpstr>FY21-22 Forecast!Print_Titles</vt:lpstr>
      <vt:lpstr>FY22-23 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Matthew Percin</cp:lastModifiedBy>
  <dcterms:created xsi:type="dcterms:W3CDTF">2021-09-03T01:55:55Z</dcterms:created>
  <dcterms:modified xsi:type="dcterms:W3CDTF">2023-02-09T19:49:26Z</dcterms:modified>
</cp:coreProperties>
</file>